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Blpusp2\общая\01 Л.В. Кузнецовой\Главе 16.05.2024\ИННА\"/>
    </mc:Choice>
  </mc:AlternateContent>
  <xr:revisionPtr revIDLastSave="0" documentId="13_ncr:1_{C65B4B2E-CE8A-4FFB-B499-FEFB18D8224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9" i="4" l="1"/>
  <c r="AE54" i="4" l="1"/>
  <c r="AE63" i="4" s="1"/>
  <c r="AE66" i="4" s="1"/>
  <c r="AF49" i="4" l="1"/>
  <c r="Y12" i="4"/>
  <c r="AC54" i="4"/>
  <c r="AC53" i="4"/>
  <c r="AC52" i="4"/>
  <c r="AC51" i="4"/>
  <c r="AC50" i="4" s="1"/>
  <c r="AC49" i="4"/>
  <c r="AC48" i="4"/>
  <c r="AC45" i="4"/>
  <c r="AC41" i="4"/>
  <c r="AC40" i="4"/>
  <c r="AC39" i="4"/>
  <c r="AC38" i="4"/>
  <c r="AC37" i="4" s="1"/>
  <c r="AC31" i="4"/>
  <c r="AC29" i="4"/>
  <c r="AC28" i="4"/>
  <c r="AC27" i="4" s="1"/>
  <c r="AC26" i="4"/>
  <c r="AC25" i="4"/>
  <c r="AC24" i="4"/>
  <c r="AC20" i="4"/>
  <c r="AC19" i="4"/>
  <c r="AC18" i="4"/>
  <c r="AC17" i="4" s="1"/>
  <c r="AC16" i="4"/>
  <c r="AC15" i="4"/>
  <c r="AC14" i="4"/>
  <c r="AC12" i="4"/>
  <c r="AC11" i="4"/>
  <c r="AC10" i="4"/>
  <c r="AC9" i="4" s="1"/>
  <c r="AC23" i="4" l="1"/>
  <c r="AC22" i="4" s="1"/>
  <c r="AC7" i="4" s="1"/>
  <c r="AC8" i="4" s="1"/>
  <c r="Y10" i="4"/>
  <c r="U12" i="4"/>
  <c r="AB28" i="4"/>
  <c r="AB26" i="4"/>
  <c r="AF51" i="4" l="1"/>
  <c r="AB54" i="4"/>
  <c r="AA54" i="4"/>
  <c r="Z54" i="4"/>
  <c r="X54" i="4"/>
  <c r="W54" i="4"/>
  <c r="V54" i="4"/>
  <c r="U54" i="4"/>
  <c r="AD54" i="4"/>
  <c r="AF10" i="4" l="1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K14" i="4" l="1"/>
  <c r="AO1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60" i="4"/>
  <c r="Y18" i="4"/>
  <c r="Y20" i="4"/>
  <c r="Y19" i="4"/>
  <c r="Y16" i="4"/>
  <c r="AQ16" i="4" s="1"/>
  <c r="Y15" i="4"/>
  <c r="AQ15" i="4" s="1"/>
  <c r="Y14" i="4"/>
  <c r="AQ14" i="4" s="1"/>
  <c r="Y13" i="4"/>
  <c r="Y11" i="4"/>
  <c r="AP13" i="4" l="1"/>
  <c r="AQ13" i="4"/>
  <c r="AP12" i="4"/>
  <c r="AQ12" i="4"/>
  <c r="AA28" i="4"/>
  <c r="AA26" i="4"/>
  <c r="U10" i="4" l="1"/>
  <c r="T50" i="4"/>
  <c r="T22" i="4" s="1"/>
  <c r="T7" i="4" s="1"/>
  <c r="T8" i="4" s="1"/>
  <c r="S50" i="4"/>
  <c r="T9" i="4"/>
  <c r="T17" i="4"/>
  <c r="T23" i="4"/>
  <c r="T24" i="4"/>
  <c r="T27" i="4"/>
  <c r="T29" i="4"/>
  <c r="T31" i="4"/>
  <c r="T37" i="4"/>
  <c r="T38" i="4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S7" i="4" l="1"/>
  <c r="S8" i="4" s="1"/>
  <c r="AG52" i="4" l="1"/>
  <c r="AG53" i="4"/>
  <c r="AF52" i="4"/>
  <c r="AF35" i="4"/>
  <c r="AF33" i="4"/>
  <c r="Y52" i="4"/>
  <c r="Y53" i="4"/>
  <c r="Y51" i="4"/>
  <c r="AQ51" i="4" s="1"/>
  <c r="U50" i="4"/>
  <c r="V50" i="4"/>
  <c r="W50" i="4"/>
  <c r="X50" i="4"/>
  <c r="U52" i="4"/>
  <c r="U53" i="4"/>
  <c r="U51" i="4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8" i="4"/>
  <c r="AF46" i="4"/>
  <c r="AF47" i="4"/>
  <c r="AO47" i="4" s="1"/>
  <c r="X17" i="4" l="1"/>
  <c r="V24" i="4" l="1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AQ59" i="4" s="1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AF54" i="4" s="1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R17" i="4" s="1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W9" i="4" l="1"/>
  <c r="T3" i="4"/>
  <c r="AK30" i="4"/>
  <c r="AQ30" i="4"/>
  <c r="AO30" i="4"/>
  <c r="AQ58" i="4"/>
  <c r="AQ56" i="4"/>
  <c r="AO55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29" i="4" l="1"/>
  <c r="AO29" i="4"/>
  <c r="AQ45" i="4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V3" i="4"/>
  <c r="W8" i="4"/>
  <c r="AA63" i="4"/>
  <c r="P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U7" i="4"/>
  <c r="U8" i="4" s="1"/>
  <c r="T63" i="4"/>
  <c r="U13" i="4"/>
  <c r="U9" i="4" s="1"/>
  <c r="R13" i="4"/>
  <c r="R7" i="4" s="1"/>
  <c r="R8" i="4" l="1"/>
  <c r="R63" i="4"/>
  <c r="U63" i="4"/>
</calcChain>
</file>

<file path=xl/sharedStrings.xml><?xml version="1.0" encoding="utf-8"?>
<sst xmlns="http://schemas.openxmlformats.org/spreadsheetml/2006/main" count="132" uniqueCount="108">
  <si>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</si>
  <si>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</si>
  <si>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</si>
  <si>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</si>
  <si>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</si>
  <si>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</si>
  <si>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</si>
  <si>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</si>
  <si>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</si>
  <si>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</si>
  <si>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</si>
  <si>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</si>
  <si>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</si>
  <si>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</si>
  <si>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</si>
  <si>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</si>
  <si>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</si>
  <si>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</si>
  <si>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</si>
  <si>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</si>
  <si>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</si>
  <si>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</si>
  <si>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</si>
  <si>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</si>
  <si>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</si>
  <si>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</si>
  <si>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</si>
  <si>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</si>
  <si>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</si>
  <si>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</si>
  <si>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</si>
  <si>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</si>
  <si>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</si>
  <si>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</si>
  <si>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</si>
  <si>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</si>
  <si>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</si>
  <si>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</si>
  <si>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</si>
  <si>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</si>
  <si>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</si>
  <si>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</si>
  <si>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</si>
  <si>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</si>
  <si>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</si>
  <si>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</si>
  <si>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</si>
  <si>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</si>
  <si>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</si>
  <si>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</si>
  <si>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</si>
  <si>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</si>
  <si>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</si>
  <si>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</si>
  <si>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</si>
  <si>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</si>
  <si>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</si>
  <si>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</si>
  <si>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</si>
  <si>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</si>
  <si>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</si>
  <si>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</si>
  <si>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</si>
  <si>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</si>
  <si>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</si>
  <si>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</si>
  <si>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</si>
  <si>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</si>
  <si>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</si>
  <si>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</si>
  <si>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</si>
  <si>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</si>
  <si>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</si>
  <si>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</si>
  <si>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</si>
  <si>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</si>
  <si>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</si>
  <si>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</si>
  <si>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</si>
  <si>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</si>
  <si>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</si>
  <si>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</si>
  <si>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</si>
  <si>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</si>
  <si>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</si>
  <si>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</si>
  <si>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</si>
  <si>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</si>
  <si>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</si>
  <si>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</si>
  <si>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</si>
  <si>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</si>
  <si>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</si>
  <si>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</si>
  <si>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</si>
  <si>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</si>
  <si>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744 1 13 01994 14 0000 130</t>
  </si>
  <si>
    <t>откл.+- от плана за 5 месяцев 2024 года</t>
  </si>
  <si>
    <t>X</t>
  </si>
  <si>
    <t>Исполнение бюджета Благодарненского муниципального округа Ставропольского края по доходам по состоянию на 16.05.2024 года</t>
  </si>
  <si>
    <t>Исполнено с 01.01.2023 по 16.05.2023 год</t>
  </si>
  <si>
    <r>
      <t>Исполнено с 01.01.2023 года по 16.05.2023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</si>
  <si>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03.05.2024 по 08.05.2024 (неделя) П</t>
  </si>
  <si>
    <t>с 13.05.2024 по 16.05.2024 (неделя) Т</t>
  </si>
  <si>
    <r>
      <t xml:space="preserve">Исполнение с 01.01.2024 по 16.05.2024
</t>
    </r>
    <r>
      <rPr>
        <b/>
        <sz val="14"/>
        <rFont val="Times New Roman"/>
        <family val="1"/>
        <charset val="204"/>
      </rPr>
      <t>(53,08%)</t>
    </r>
  </si>
  <si>
    <t>откл.+- от исполнения на 16.05.2023 г  (в сопоставимых условиях 2024 года)</t>
  </si>
  <si>
    <t>в т.ч. 701 Администрация БМО СК</t>
  </si>
  <si>
    <t>Исполнение с 01.01.2024 по 08.05.2024
(53,08%)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</si>
</sst>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  <xf numFmtId="0" fontId="28" fillId="0" borderId="0"/>
  </cellStyleXfs>
  <cellXfs count="147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  <xf numFmtId="164" fontId="4" fillId="7" borderId="2" xfId="1" applyNumberFormat="1" applyFont="1" applyFill="1" applyBorder="1" applyProtection="1">
      <protection hidden="1"/>
    </xf>
    <xf numFmtId="164" fontId="29" fillId="0" borderId="2" xfId="1" applyNumberFormat="1" applyFont="1" applyBorder="1" applyAlignment="1" applyProtection="1">
      <alignment horizontal="right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4" fontId="5" fillId="0" borderId="0" xfId="1" applyNumberFormat="1" applyFont="1" applyAlignment="1">
      <alignment horizontal="center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</cellXfs>
  <cellStyles count="27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18" xfId="26" xr:uid="{EF6831F7-33A4-4AF3-B246-690CBF8C6D8B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6" topLeftCell="U7" activePane="bottomRight" state="frozen"/>
      <selection pane="topRight" activeCell="U1" sqref="U1"/>
      <selection pane="bottomLeft" activeCell="A7" sqref="A7"/>
      <selection pane="bottomRight" activeCell="I3" sqref="I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2.28515625" style="1" hidden="1" customWidth="1"/>
    <col min="21" max="21" width="23.7109375" style="1" customWidth="1"/>
    <col min="22" max="22" width="23.140625" style="1" hidden="1" customWidth="1"/>
    <col min="23" max="23" width="21.7109375" style="1" hidden="1" customWidth="1"/>
    <col min="24" max="24" width="22.2851562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3.85546875" style="1" hidden="1" customWidth="1"/>
    <col min="32" max="32" width="26.710937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4" style="1" bestFit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46" t="s">
        <v>99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22.957881337294349</v>
      </c>
      <c r="U3" s="104"/>
      <c r="V3" s="106">
        <f>V8/S8%</f>
        <v>24.667530863100922</v>
      </c>
      <c r="W3" s="106"/>
      <c r="X3" s="105"/>
      <c r="Y3" s="80"/>
      <c r="Z3" s="80">
        <f>U3-Y63</f>
        <v>-914769117.07178378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58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19" t="s">
        <v>34</v>
      </c>
      <c r="J4" s="120" t="s">
        <v>44</v>
      </c>
      <c r="K4" s="120" t="s">
        <v>50</v>
      </c>
      <c r="L4" s="121" t="s">
        <v>55</v>
      </c>
      <c r="M4" s="120" t="s">
        <v>53</v>
      </c>
      <c r="N4" s="120" t="s">
        <v>52</v>
      </c>
      <c r="O4" s="121" t="s">
        <v>49</v>
      </c>
      <c r="P4" s="120" t="s">
        <v>62</v>
      </c>
      <c r="Q4" s="121" t="s">
        <v>64</v>
      </c>
      <c r="R4" s="120" t="s">
        <v>63</v>
      </c>
      <c r="S4" s="127" t="s">
        <v>81</v>
      </c>
      <c r="T4" s="121" t="s">
        <v>80</v>
      </c>
      <c r="U4" s="120" t="s">
        <v>82</v>
      </c>
      <c r="V4" s="121" t="s">
        <v>100</v>
      </c>
      <c r="W4" s="122" t="s">
        <v>74</v>
      </c>
      <c r="X4" s="135" t="s">
        <v>79</v>
      </c>
      <c r="Y4" s="120" t="s">
        <v>101</v>
      </c>
      <c r="Z4" s="129" t="s">
        <v>65</v>
      </c>
      <c r="AA4" s="141" t="s">
        <v>94</v>
      </c>
      <c r="AB4" s="142"/>
      <c r="AC4" s="128" t="s">
        <v>56</v>
      </c>
      <c r="AD4" s="128"/>
      <c r="AE4" s="131" t="s">
        <v>107</v>
      </c>
      <c r="AF4" s="120" t="s">
        <v>104</v>
      </c>
      <c r="AG4" s="125" t="s">
        <v>43</v>
      </c>
      <c r="AH4" s="127" t="s">
        <v>66</v>
      </c>
      <c r="AI4" s="127"/>
      <c r="AJ4" s="128" t="s">
        <v>93</v>
      </c>
      <c r="AK4" s="128"/>
      <c r="AL4" s="128" t="s">
        <v>51</v>
      </c>
      <c r="AM4" s="128"/>
      <c r="AN4" s="128" t="s">
        <v>97</v>
      </c>
      <c r="AO4" s="128"/>
      <c r="AP4" s="128" t="s">
        <v>105</v>
      </c>
      <c r="AQ4" s="128"/>
      <c r="AR4" s="128" t="s">
        <v>54</v>
      </c>
      <c r="AS4" s="128"/>
      <c r="AT4" s="33" t="s">
        <v>48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19"/>
      <c r="J5" s="120"/>
      <c r="K5" s="120"/>
      <c r="L5" s="121"/>
      <c r="M5" s="120"/>
      <c r="N5" s="120"/>
      <c r="O5" s="121"/>
      <c r="P5" s="120"/>
      <c r="Q5" s="121"/>
      <c r="R5" s="120"/>
      <c r="S5" s="127"/>
      <c r="T5" s="121"/>
      <c r="U5" s="120"/>
      <c r="V5" s="121"/>
      <c r="W5" s="123"/>
      <c r="X5" s="135"/>
      <c r="Y5" s="120"/>
      <c r="Z5" s="130"/>
      <c r="AA5" s="143"/>
      <c r="AB5" s="144"/>
      <c r="AC5" s="79" t="s">
        <v>102</v>
      </c>
      <c r="AD5" s="79" t="s">
        <v>103</v>
      </c>
      <c r="AE5" s="132"/>
      <c r="AF5" s="120"/>
      <c r="AG5" s="126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5</v>
      </c>
      <c r="AG6" s="30">
        <v>9</v>
      </c>
      <c r="AH6" s="30">
        <v>10</v>
      </c>
      <c r="AI6" s="30">
        <v>11</v>
      </c>
      <c r="AJ6" s="30">
        <v>6</v>
      </c>
      <c r="AK6" s="30">
        <v>7</v>
      </c>
      <c r="AL6" s="30">
        <v>9</v>
      </c>
      <c r="AM6" s="30">
        <v>10</v>
      </c>
      <c r="AN6" s="30">
        <v>12</v>
      </c>
      <c r="AO6" s="30">
        <v>13</v>
      </c>
      <c r="AP6" s="30">
        <v>8</v>
      </c>
      <c r="AQ6" s="30">
        <v>9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33" t="s">
        <v>8</v>
      </c>
      <c r="C7" s="133"/>
      <c r="D7" s="133"/>
      <c r="E7" s="133"/>
      <c r="F7" s="133"/>
      <c r="G7" s="133"/>
      <c r="H7" s="133"/>
      <c r="I7" s="133"/>
      <c r="J7" s="44">
        <f t="shared" ref="J7:P7" si="0">J10+J11+J13+J14+J15+J16+J17+J20+J23+J36+J37+J45+J48+J50+J12</f>
        <v>360649780.94999993</v>
      </c>
      <c r="K7" s="44">
        <f t="shared" si="0"/>
        <v>345578207.62513435</v>
      </c>
      <c r="L7" s="44">
        <f t="shared" si="0"/>
        <v>126453042.85999998</v>
      </c>
      <c r="M7" s="44">
        <f t="shared" si="0"/>
        <v>121913171.37554319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584175015.36584187</v>
      </c>
      <c r="V7" s="44">
        <f>V9+V22</f>
        <v>110999261.90999998</v>
      </c>
      <c r="W7" s="44">
        <f>V7/S7%</f>
        <v>27.083794701015631</v>
      </c>
      <c r="X7" s="44">
        <f>X9+X22</f>
        <v>0</v>
      </c>
      <c r="Y7" s="44">
        <f>Y9+Y22</f>
        <v>143949762.9517839</v>
      </c>
      <c r="Z7" s="44">
        <f t="shared" ref="Z7:AF7" si="2">Z9+Z22</f>
        <v>400415099.64999998</v>
      </c>
      <c r="AA7" s="44">
        <f t="shared" si="2"/>
        <v>578105570.37</v>
      </c>
      <c r="AB7" s="44">
        <f t="shared" si="2"/>
        <v>209317300.96000001</v>
      </c>
      <c r="AC7" s="44">
        <f t="shared" si="2"/>
        <v>24340027.449999999</v>
      </c>
      <c r="AD7" s="44">
        <f t="shared" ref="AD7" si="3">AD9+AD22</f>
        <v>14129023.02</v>
      </c>
      <c r="AE7" s="44">
        <v>191194795.22000003</v>
      </c>
      <c r="AF7" s="44">
        <f t="shared" si="2"/>
        <v>205323818.24000001</v>
      </c>
      <c r="AG7" s="44">
        <f>AD7-AC7</f>
        <v>-10211004.43</v>
      </c>
      <c r="AH7" s="44">
        <f t="shared" ref="AH7:AH63" si="4">AF7-Z7</f>
        <v>-195091281.40999997</v>
      </c>
      <c r="AI7" s="44">
        <f t="shared" ref="AI7:AI28" si="5">AF7/Z7*100</f>
        <v>51.277741129011403</v>
      </c>
      <c r="AJ7" s="44">
        <f>AF7-AA7</f>
        <v>-372781752.13</v>
      </c>
      <c r="AK7" s="44">
        <f>AF7/AA7%</f>
        <v>35.516664907516514</v>
      </c>
      <c r="AL7" s="44" t="e">
        <f>AF7-#REF!</f>
        <v>#REF!</v>
      </c>
      <c r="AM7" s="44" t="e">
        <f>IF(#REF!=0,0,AF7/#REF!*100)</f>
        <v>#REF!</v>
      </c>
      <c r="AN7" s="44">
        <f>AF7-AB7</f>
        <v>-3993482.7199999988</v>
      </c>
      <c r="AO7" s="44">
        <f>AF7/AB7*100</f>
        <v>98.092139206035739</v>
      </c>
      <c r="AP7" s="44">
        <f>AF7-Y7</f>
        <v>61374055.288216114</v>
      </c>
      <c r="AQ7" s="44">
        <f>AF7/Y7%</f>
        <v>142.63574599200513</v>
      </c>
      <c r="AR7" s="44">
        <f>AF7-M7</f>
        <v>83410646.864456818</v>
      </c>
      <c r="AS7" s="44">
        <f>IF(M7=0,0,AF7/M7*100)</f>
        <v>168.41807650751483</v>
      </c>
      <c r="AT7" s="45" t="e">
        <f>AT10+AT11+AT13+AT14+AT15+AT16+AT17+AT20+AT23+AT36+AT37+AT45+AT48+AT50+AT12</f>
        <v>#REF!</v>
      </c>
    </row>
    <row r="8" spans="1:47" s="10" customFormat="1" ht="99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60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544501974.11584198</v>
      </c>
      <c r="V8" s="52">
        <f>V7-V37-V53</f>
        <v>91289854.23999998</v>
      </c>
      <c r="W8" s="44">
        <f>V8/S8%</f>
        <v>24.667530863100922</v>
      </c>
      <c r="X8" s="52">
        <f t="shared" ref="X8:AC8" si="7">X7-X37-X53</f>
        <v>0</v>
      </c>
      <c r="Y8" s="52">
        <f t="shared" si="7"/>
        <v>124240355.28178389</v>
      </c>
      <c r="Z8" s="52">
        <f t="shared" si="7"/>
        <v>372608810</v>
      </c>
      <c r="AA8" s="52">
        <f t="shared" si="7"/>
        <v>545150607.50999999</v>
      </c>
      <c r="AB8" s="52">
        <f t="shared" si="7"/>
        <v>192400367.38</v>
      </c>
      <c r="AC8" s="52">
        <f t="shared" si="7"/>
        <v>22355508.84</v>
      </c>
      <c r="AD8" s="52">
        <f t="shared" ref="AD8" si="8">AD7-AD37-AD53</f>
        <v>13341950.1</v>
      </c>
      <c r="AE8" s="52">
        <v>173098134.12000003</v>
      </c>
      <c r="AF8" s="52">
        <f>AF7-AF37-AF53</f>
        <v>186440084.22000003</v>
      </c>
      <c r="AG8" s="51">
        <f t="shared" ref="AG8:AG63" si="9">AD8-AC8</f>
        <v>-9013558.7400000002</v>
      </c>
      <c r="AH8" s="64">
        <f t="shared" si="4"/>
        <v>-186168725.77999997</v>
      </c>
      <c r="AI8" s="64">
        <f t="shared" si="5"/>
        <v>50.036413315079699</v>
      </c>
      <c r="AJ8" s="51">
        <f t="shared" ref="AJ8:AJ62" si="10">AF8-AA8</f>
        <v>-358710523.28999996</v>
      </c>
      <c r="AK8" s="51">
        <f>AF8/AA8%</f>
        <v>34.199738870616606</v>
      </c>
      <c r="AL8" s="51"/>
      <c r="AM8" s="51"/>
      <c r="AN8" s="64">
        <f t="shared" ref="AN8:AN63" si="11">AF8-AB8</f>
        <v>-5960283.1599999666</v>
      </c>
      <c r="AO8" s="64">
        <f t="shared" ref="AO8:AO63" si="12">AF8/AB8*100</f>
        <v>96.902145644957045</v>
      </c>
      <c r="AP8" s="51">
        <f t="shared" ref="AP8:AP63" si="13">AF8-Y8</f>
        <v>62199728.938216135</v>
      </c>
      <c r="AQ8" s="51">
        <f>AF8/Y8%</f>
        <v>150.06403015923752</v>
      </c>
      <c r="AR8" s="23"/>
      <c r="AS8" s="23"/>
      <c r="AT8" s="49"/>
    </row>
    <row r="9" spans="1:47" s="10" customFormat="1" ht="30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67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4">S10+S11+S12+S13+S14+S15+S16+S17+S20+S21</f>
        <v>323360088.5</v>
      </c>
      <c r="T9" s="70">
        <f t="shared" si="14"/>
        <v>339771027.17000008</v>
      </c>
      <c r="U9" s="70">
        <f t="shared" ref="U9:AA9" si="15">U10+U11+U12+U13+U14+U15+U16+U17+U20+U21</f>
        <v>492445948.29584169</v>
      </c>
      <c r="V9" s="70">
        <f t="shared" si="15"/>
        <v>74236625.409999982</v>
      </c>
      <c r="W9" s="44">
        <f>V9/S9%</f>
        <v>22.957881337294349</v>
      </c>
      <c r="X9" s="70">
        <f t="shared" si="15"/>
        <v>0</v>
      </c>
      <c r="Y9" s="70">
        <f>Y10+Y11+Y12+Y13+Y14+Y15+Y16+Y17+Y20+Y21</f>
        <v>107187126.4517839</v>
      </c>
      <c r="Z9" s="70">
        <f t="shared" si="15"/>
        <v>323434900</v>
      </c>
      <c r="AA9" s="70">
        <f t="shared" si="15"/>
        <v>493890337.50999999</v>
      </c>
      <c r="AB9" s="70">
        <f>AB10+AB11+AB12+AB13+AB14+AB15+AB16+AB17+AB20+AB21</f>
        <v>175012291.84</v>
      </c>
      <c r="AC9" s="70">
        <f t="shared" ref="AC9" si="16">AC10+AC11+AC12+AC13+AC14+AC15+AC16+AC17+AC20+AC21</f>
        <v>22009823.359999999</v>
      </c>
      <c r="AD9" s="70">
        <f t="shared" ref="AD9" si="17">AD10+AD11+AD12+AD13+AD14+AD15+AD16+AD17+AD20+AD21</f>
        <v>13035862.59</v>
      </c>
      <c r="AE9" s="70">
        <v>156518523.01000002</v>
      </c>
      <c r="AF9" s="70">
        <f>AF10+AF11+AF12+AF13+AF14+AF15+AF16+AF17+AF20+AF21</f>
        <v>169554385.60000002</v>
      </c>
      <c r="AG9" s="71">
        <f t="shared" si="9"/>
        <v>-8973960.7699999996</v>
      </c>
      <c r="AH9" s="72"/>
      <c r="AI9" s="72"/>
      <c r="AJ9" s="71">
        <f t="shared" si="10"/>
        <v>-324335951.90999997</v>
      </c>
      <c r="AK9" s="71">
        <f>AF9/AA9%</f>
        <v>34.330371080921786</v>
      </c>
      <c r="AL9" s="73"/>
      <c r="AM9" s="73"/>
      <c r="AN9" s="72">
        <f t="shared" si="11"/>
        <v>-5457906.2399999797</v>
      </c>
      <c r="AO9" s="72">
        <f t="shared" si="12"/>
        <v>96.881415480811071</v>
      </c>
      <c r="AP9" s="71">
        <f t="shared" si="13"/>
        <v>62367259.148216128</v>
      </c>
      <c r="AQ9" s="71">
        <f>AF9/Y9%</f>
        <v>158.18540081515371</v>
      </c>
      <c r="AR9" s="23"/>
      <c r="AS9" s="23"/>
      <c r="AT9" s="49"/>
    </row>
    <row r="10" spans="1:47" s="10" customFormat="1" ht="91.5" customHeight="1" x14ac:dyDescent="0.3">
      <c r="A10" s="9"/>
      <c r="B10" s="134" t="s">
        <v>26</v>
      </c>
      <c r="C10" s="134"/>
      <c r="D10" s="134"/>
      <c r="E10" s="134"/>
      <c r="F10" s="134"/>
      <c r="G10" s="134"/>
      <c r="H10" s="134"/>
      <c r="I10" s="134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40767900.460000001</v>
      </c>
      <c r="W10" s="12"/>
      <c r="X10" s="46"/>
      <c r="Y10" s="47">
        <f>V10/31.84%*53.08%</f>
        <v>67963572.751783907</v>
      </c>
      <c r="Z10" s="46">
        <v>188231000</v>
      </c>
      <c r="AA10" s="46">
        <v>340259137.50999999</v>
      </c>
      <c r="AB10" s="46">
        <v>121542729.84</v>
      </c>
      <c r="AC10" s="46">
        <f>5443398.34</f>
        <v>5443398.3399999999</v>
      </c>
      <c r="AD10" s="46">
        <v>5334991.04</v>
      </c>
      <c r="AE10" s="46">
        <v>98041243.330000013</v>
      </c>
      <c r="AF10" s="46">
        <f>AE10+AD10</f>
        <v>103376234.37000002</v>
      </c>
      <c r="AG10" s="46">
        <f t="shared" si="9"/>
        <v>-108407.29999999981</v>
      </c>
      <c r="AH10" s="44">
        <f t="shared" si="4"/>
        <v>-84854765.62999998</v>
      </c>
      <c r="AI10" s="44">
        <f t="shared" si="5"/>
        <v>54.919877368764979</v>
      </c>
      <c r="AJ10" s="46">
        <f t="shared" si="10"/>
        <v>-236882903.13999999</v>
      </c>
      <c r="AK10" s="44">
        <f t="shared" ref="AK10:AK63" si="18">AF10/AA10%</f>
        <v>30.381618882156211</v>
      </c>
      <c r="AL10" s="46" t="e">
        <f>AF10-#REF!</f>
        <v>#REF!</v>
      </c>
      <c r="AM10" s="46" t="e">
        <f>IF(#REF!=0,0,AF10/#REF!*100)</f>
        <v>#REF!</v>
      </c>
      <c r="AN10" s="44">
        <f t="shared" si="11"/>
        <v>-18166495.469999984</v>
      </c>
      <c r="AO10" s="44">
        <f t="shared" si="12"/>
        <v>85.053408382455672</v>
      </c>
      <c r="AP10" s="46">
        <f t="shared" si="13"/>
        <v>35412661.618216112</v>
      </c>
      <c r="AQ10" s="44">
        <f t="shared" ref="AQ10:AQ18" si="19">AF10/Y10%</f>
        <v>152.10535612592057</v>
      </c>
      <c r="AR10" s="46">
        <f t="shared" ref="AR10:AR20" si="20">AF10-M10</f>
        <v>44540784.274456799</v>
      </c>
      <c r="AS10" s="46">
        <f t="shared" ref="AS10:AS20" si="21">IF(M10=0,0,AF10/M10*100)</f>
        <v>175.7039917296915</v>
      </c>
      <c r="AT10" s="48" t="e">
        <f>#REF!</f>
        <v>#REF!</v>
      </c>
      <c r="AU10" s="86"/>
    </row>
    <row r="11" spans="1:47" s="10" customFormat="1" ht="61.5" customHeight="1" x14ac:dyDescent="0.3">
      <c r="A11" s="9"/>
      <c r="B11" s="124" t="s">
        <v>25</v>
      </c>
      <c r="C11" s="124"/>
      <c r="D11" s="124"/>
      <c r="E11" s="124"/>
      <c r="F11" s="124"/>
      <c r="G11" s="124"/>
      <c r="H11" s="124"/>
      <c r="I11" s="124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10311536.539999999</v>
      </c>
      <c r="W11" s="12"/>
      <c r="X11" s="12"/>
      <c r="Y11" s="12">
        <f t="shared" ref="Y11:Y16" si="22">V11</f>
        <v>10311536.539999999</v>
      </c>
      <c r="Z11" s="12">
        <v>28603900</v>
      </c>
      <c r="AA11" s="12">
        <v>32294200</v>
      </c>
      <c r="AB11" s="12">
        <v>13129480</v>
      </c>
      <c r="AC11" s="12">
        <f>2552642.1</f>
        <v>2552642.1</v>
      </c>
      <c r="AD11" s="12">
        <v>3644.49</v>
      </c>
      <c r="AE11" s="12">
        <v>11128349.85</v>
      </c>
      <c r="AF11" s="12">
        <f t="shared" ref="AF11:AF62" si="23">AE11+AD11</f>
        <v>11131994.34</v>
      </c>
      <c r="AG11" s="12">
        <f t="shared" si="9"/>
        <v>-2548997.61</v>
      </c>
      <c r="AH11" s="44">
        <f t="shared" si="4"/>
        <v>-17471905.66</v>
      </c>
      <c r="AI11" s="44">
        <f t="shared" si="5"/>
        <v>38.917750166935278</v>
      </c>
      <c r="AJ11" s="12">
        <f t="shared" si="10"/>
        <v>-21162205.66</v>
      </c>
      <c r="AK11" s="44">
        <f t="shared" si="18"/>
        <v>34.470568523140379</v>
      </c>
      <c r="AL11" s="12" t="e">
        <f>AF11-#REF!</f>
        <v>#REF!</v>
      </c>
      <c r="AM11" s="12" t="e">
        <f>IF(#REF!=0,0,AF11/#REF!*100)</f>
        <v>#REF!</v>
      </c>
      <c r="AN11" s="44">
        <f t="shared" si="11"/>
        <v>-1997485.6600000001</v>
      </c>
      <c r="AO11" s="44">
        <f>AF11/AB11*100</f>
        <v>84.786254596526291</v>
      </c>
      <c r="AP11" s="12">
        <f t="shared" si="13"/>
        <v>820457.80000000075</v>
      </c>
      <c r="AQ11" s="44">
        <f t="shared" si="19"/>
        <v>107.95669779006573</v>
      </c>
      <c r="AR11" s="12">
        <f t="shared" si="20"/>
        <v>3238069.2299999995</v>
      </c>
      <c r="AS11" s="12">
        <f t="shared" si="21"/>
        <v>141.01976120723546</v>
      </c>
      <c r="AT11" s="34">
        <v>24865000</v>
      </c>
    </row>
    <row r="12" spans="1:47" s="10" customFormat="1" ht="45.75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45</v>
      </c>
      <c r="J12" s="12">
        <v>0</v>
      </c>
      <c r="K12" s="12">
        <f t="shared" ref="K12:K13" si="24">J12</f>
        <v>0</v>
      </c>
      <c r="L12" s="12">
        <v>0</v>
      </c>
      <c r="M12" s="36">
        <f t="shared" ref="M12" si="25">L12</f>
        <v>0</v>
      </c>
      <c r="N12" s="12">
        <v>8810490.5399999991</v>
      </c>
      <c r="O12" s="12">
        <v>9529840.7599999998</v>
      </c>
      <c r="P12" s="12">
        <f t="shared" ref="P12:P15" si="26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35">
        <f>T12/15%*30%</f>
        <v>27609636.440000001</v>
      </c>
      <c r="V12" s="12">
        <v>5754828.75</v>
      </c>
      <c r="W12" s="12"/>
      <c r="X12" s="12"/>
      <c r="Y12" s="35">
        <f>V12/15%*30%</f>
        <v>11509657.5</v>
      </c>
      <c r="Z12" s="12">
        <v>11972000</v>
      </c>
      <c r="AA12" s="12">
        <v>27969000</v>
      </c>
      <c r="AB12" s="12">
        <v>11628089</v>
      </c>
      <c r="AC12" s="12">
        <f>12150096.64</f>
        <v>12150096.640000001</v>
      </c>
      <c r="AD12" s="12">
        <v>1335705.1000000001</v>
      </c>
      <c r="AE12" s="12">
        <v>15675955.120000001</v>
      </c>
      <c r="AF12" s="12">
        <f t="shared" si="23"/>
        <v>17011660.220000003</v>
      </c>
      <c r="AG12" s="12">
        <f t="shared" si="9"/>
        <v>-10814391.540000001</v>
      </c>
      <c r="AH12" s="44">
        <f t="shared" si="4"/>
        <v>5039660.2200000025</v>
      </c>
      <c r="AI12" s="44">
        <f t="shared" si="5"/>
        <v>142.09539107918479</v>
      </c>
      <c r="AJ12" s="12">
        <f t="shared" si="10"/>
        <v>-10957339.779999997</v>
      </c>
      <c r="AK12" s="44">
        <f t="shared" si="18"/>
        <v>60.823269405413143</v>
      </c>
      <c r="AL12" s="12" t="e">
        <f>AF12-#REF!</f>
        <v>#REF!</v>
      </c>
      <c r="AM12" s="12" t="e">
        <f>IF(#REF!=0,0,AF12/#REF!*100)</f>
        <v>#REF!</v>
      </c>
      <c r="AN12" s="44">
        <f t="shared" si="11"/>
        <v>5383571.2200000025</v>
      </c>
      <c r="AO12" s="44">
        <f t="shared" si="12"/>
        <v>146.2979877432999</v>
      </c>
      <c r="AP12" s="12">
        <f t="shared" si="13"/>
        <v>5502002.7200000025</v>
      </c>
      <c r="AQ12" s="44">
        <f t="shared" si="19"/>
        <v>147.80335748479052</v>
      </c>
      <c r="AR12" s="12">
        <f t="shared" si="20"/>
        <v>17011660.220000003</v>
      </c>
      <c r="AS12" s="12">
        <f t="shared" si="21"/>
        <v>0</v>
      </c>
      <c r="AT12" s="34">
        <f>AF12</f>
        <v>17011660.220000003</v>
      </c>
    </row>
    <row r="13" spans="1:47" s="10" customFormat="1" ht="70.5" customHeight="1" x14ac:dyDescent="0.3">
      <c r="A13" s="9"/>
      <c r="B13" s="124" t="s">
        <v>24</v>
      </c>
      <c r="C13" s="124"/>
      <c r="D13" s="124"/>
      <c r="E13" s="124"/>
      <c r="F13" s="124"/>
      <c r="G13" s="124"/>
      <c r="H13" s="124"/>
      <c r="I13" s="124"/>
      <c r="J13" s="12">
        <v>11880184.26</v>
      </c>
      <c r="K13" s="12">
        <f t="shared" si="24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6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7">T13</f>
        <v>-283271.29000000004</v>
      </c>
      <c r="V13" s="12">
        <v>-361022.61</v>
      </c>
      <c r="W13" s="12"/>
      <c r="X13" s="12"/>
      <c r="Y13" s="12">
        <f t="shared" si="22"/>
        <v>-361022.61</v>
      </c>
      <c r="Z13" s="12">
        <v>8000</v>
      </c>
      <c r="AA13" s="12">
        <v>0</v>
      </c>
      <c r="AB13" s="12">
        <v>0</v>
      </c>
      <c r="AC13" s="12">
        <v>0</v>
      </c>
      <c r="AD13" s="12">
        <v>0</v>
      </c>
      <c r="AE13" s="12">
        <v>-576.44999999999982</v>
      </c>
      <c r="AF13" s="12">
        <f t="shared" si="23"/>
        <v>-576.44999999999982</v>
      </c>
      <c r="AG13" s="12">
        <f t="shared" si="9"/>
        <v>0</v>
      </c>
      <c r="AH13" s="44">
        <f t="shared" si="4"/>
        <v>-8576.4500000000007</v>
      </c>
      <c r="AI13" s="44">
        <f t="shared" si="5"/>
        <v>-7.2056249999999977</v>
      </c>
      <c r="AJ13" s="12">
        <f t="shared" si="10"/>
        <v>-576.44999999999982</v>
      </c>
      <c r="AK13" s="115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1"/>
        <v>-576.44999999999982</v>
      </c>
      <c r="AO13" s="115">
        <v>0</v>
      </c>
      <c r="AP13" s="12">
        <f t="shared" si="13"/>
        <v>360446.16</v>
      </c>
      <c r="AQ13" s="44">
        <f t="shared" si="19"/>
        <v>0.15967143996881519</v>
      </c>
      <c r="AR13" s="12">
        <f t="shared" si="20"/>
        <v>-5415255.3100000005</v>
      </c>
      <c r="AS13" s="12">
        <f t="shared" si="21"/>
        <v>-1.0646060734246385E-2</v>
      </c>
      <c r="AT13" s="34">
        <f>AF13</f>
        <v>-576.44999999999982</v>
      </c>
      <c r="AU13" s="86" t="s">
        <v>73</v>
      </c>
    </row>
    <row r="14" spans="1:47" s="10" customFormat="1" ht="42.75" customHeight="1" x14ac:dyDescent="0.3">
      <c r="A14" s="9"/>
      <c r="B14" s="124" t="s">
        <v>23</v>
      </c>
      <c r="C14" s="124"/>
      <c r="D14" s="124"/>
      <c r="E14" s="124"/>
      <c r="F14" s="124"/>
      <c r="G14" s="124"/>
      <c r="H14" s="124"/>
      <c r="I14" s="124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3960533.01</v>
      </c>
      <c r="W14" s="12"/>
      <c r="X14" s="12"/>
      <c r="Y14" s="12">
        <f t="shared" si="22"/>
        <v>3960533.01</v>
      </c>
      <c r="Z14" s="12">
        <v>5814000</v>
      </c>
      <c r="AA14" s="12">
        <v>7692000</v>
      </c>
      <c r="AB14" s="12">
        <v>7692000</v>
      </c>
      <c r="AC14" s="12">
        <f>1482861.48</f>
        <v>1482861.48</v>
      </c>
      <c r="AD14" s="12">
        <v>-3220.48</v>
      </c>
      <c r="AE14" s="12">
        <v>10348948.490000002</v>
      </c>
      <c r="AF14" s="12">
        <f t="shared" si="23"/>
        <v>10345728.010000002</v>
      </c>
      <c r="AG14" s="12">
        <f t="shared" si="9"/>
        <v>-1486081.96</v>
      </c>
      <c r="AH14" s="44">
        <f t="shared" si="4"/>
        <v>4531728.0100000016</v>
      </c>
      <c r="AI14" s="44">
        <f t="shared" si="5"/>
        <v>177.94509821121434</v>
      </c>
      <c r="AJ14" s="12">
        <f t="shared" si="10"/>
        <v>2653728.0100000016</v>
      </c>
      <c r="AK14" s="44">
        <f t="shared" si="18"/>
        <v>134.49984412376497</v>
      </c>
      <c r="AL14" s="12" t="e">
        <f>AF14-#REF!</f>
        <v>#REF!</v>
      </c>
      <c r="AM14" s="12" t="e">
        <f>IF(#REF!=0,0,AF14/#REF!*100)</f>
        <v>#REF!</v>
      </c>
      <c r="AN14" s="44">
        <f t="shared" si="11"/>
        <v>2653728.0100000016</v>
      </c>
      <c r="AO14" s="44">
        <f t="shared" si="12"/>
        <v>134.49984412376497</v>
      </c>
      <c r="AP14" s="12">
        <f t="shared" si="13"/>
        <v>6385195.0000000019</v>
      </c>
      <c r="AQ14" s="44">
        <f t="shared" si="19"/>
        <v>261.22059793159008</v>
      </c>
      <c r="AR14" s="12">
        <f t="shared" si="20"/>
        <v>6778650.1500000022</v>
      </c>
      <c r="AS14" s="12">
        <f t="shared" si="21"/>
        <v>290.03370310509575</v>
      </c>
      <c r="AT14" s="34">
        <f>AF14</f>
        <v>10345728.010000002</v>
      </c>
      <c r="AU14" s="86"/>
    </row>
    <row r="15" spans="1:47" s="10" customFormat="1" ht="99" customHeight="1" x14ac:dyDescent="0.3">
      <c r="A15" s="9"/>
      <c r="B15" s="124" t="s">
        <v>22</v>
      </c>
      <c r="C15" s="124"/>
      <c r="D15" s="124"/>
      <c r="E15" s="124"/>
      <c r="F15" s="124"/>
      <c r="G15" s="124"/>
      <c r="H15" s="124"/>
      <c r="I15" s="124"/>
      <c r="J15" s="12">
        <v>199821.72</v>
      </c>
      <c r="K15" s="12">
        <f t="shared" ref="K15" si="28">J15</f>
        <v>199821.72</v>
      </c>
      <c r="L15" s="12">
        <v>141824.35999999999</v>
      </c>
      <c r="M15" s="12">
        <f t="shared" ref="M15" si="29">L15</f>
        <v>141824.35999999999</v>
      </c>
      <c r="N15" s="12">
        <v>4514274.29</v>
      </c>
      <c r="O15" s="12">
        <v>6011745.4100000001</v>
      </c>
      <c r="P15" s="12">
        <f t="shared" si="26"/>
        <v>6011745.4100000001</v>
      </c>
      <c r="Q15" s="12">
        <v>6011745.4100000001</v>
      </c>
      <c r="R15" s="12">
        <f t="shared" ref="R15" si="30">Q15</f>
        <v>6011745.4100000001</v>
      </c>
      <c r="S15" s="12">
        <v>2368000</v>
      </c>
      <c r="T15" s="12">
        <v>2659940.33</v>
      </c>
      <c r="U15" s="12">
        <f t="shared" si="27"/>
        <v>2659940.33</v>
      </c>
      <c r="V15" s="12">
        <v>2371070.7999999998</v>
      </c>
      <c r="W15" s="12"/>
      <c r="X15" s="12"/>
      <c r="Y15" s="12">
        <f t="shared" si="22"/>
        <v>2371070.7999999998</v>
      </c>
      <c r="Z15" s="12">
        <v>8168000</v>
      </c>
      <c r="AA15" s="12">
        <v>6694000</v>
      </c>
      <c r="AB15" s="12">
        <v>6694000</v>
      </c>
      <c r="AC15" s="12">
        <f>95159.65</f>
        <v>95159.65</v>
      </c>
      <c r="AD15" s="12">
        <v>61513.94</v>
      </c>
      <c r="AE15" s="12">
        <v>6746215.4399999995</v>
      </c>
      <c r="AF15" s="12">
        <f t="shared" si="23"/>
        <v>6807729.3799999999</v>
      </c>
      <c r="AG15" s="12">
        <f t="shared" si="9"/>
        <v>-33645.709999999992</v>
      </c>
      <c r="AH15" s="44">
        <f t="shared" si="4"/>
        <v>-1360270.62</v>
      </c>
      <c r="AI15" s="44">
        <f t="shared" si="5"/>
        <v>83.346344025465228</v>
      </c>
      <c r="AJ15" s="12">
        <f t="shared" si="10"/>
        <v>113729.37999999989</v>
      </c>
      <c r="AK15" s="44">
        <f t="shared" si="18"/>
        <v>101.69897490289812</v>
      </c>
      <c r="AL15" s="12" t="e">
        <f>AF15-#REF!</f>
        <v>#REF!</v>
      </c>
      <c r="AM15" s="12" t="e">
        <f>IF(#REF!=0,0,AF15/#REF!*100)</f>
        <v>#REF!</v>
      </c>
      <c r="AN15" s="44">
        <f t="shared" si="11"/>
        <v>113729.37999999989</v>
      </c>
      <c r="AO15" s="44">
        <f t="shared" si="12"/>
        <v>101.69897490289812</v>
      </c>
      <c r="AP15" s="12">
        <f t="shared" si="13"/>
        <v>4436658.58</v>
      </c>
      <c r="AQ15" s="44">
        <f t="shared" si="19"/>
        <v>287.11624216366715</v>
      </c>
      <c r="AR15" s="12">
        <f t="shared" si="20"/>
        <v>6665905.0199999996</v>
      </c>
      <c r="AS15" s="12">
        <f t="shared" si="21"/>
        <v>4800.1128861078587</v>
      </c>
      <c r="AT15" s="34">
        <f>AF15</f>
        <v>6807729.3799999999</v>
      </c>
      <c r="AU15" s="86"/>
    </row>
    <row r="16" spans="1:47" s="10" customFormat="1" ht="65.25" customHeight="1" x14ac:dyDescent="0.3">
      <c r="A16" s="9"/>
      <c r="B16" s="124" t="s">
        <v>21</v>
      </c>
      <c r="C16" s="124"/>
      <c r="D16" s="124"/>
      <c r="E16" s="124"/>
      <c r="F16" s="124"/>
      <c r="G16" s="124"/>
      <c r="H16" s="124"/>
      <c r="I16" s="124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94374.29</v>
      </c>
      <c r="W16" s="12"/>
      <c r="X16" s="12"/>
      <c r="Y16" s="12">
        <f t="shared" si="22"/>
        <v>94374.29</v>
      </c>
      <c r="Z16" s="12">
        <v>15443000</v>
      </c>
      <c r="AA16" s="12">
        <v>14460000</v>
      </c>
      <c r="AB16" s="12">
        <v>1207880</v>
      </c>
      <c r="AC16" s="12">
        <f>2482.52</f>
        <v>2482.52</v>
      </c>
      <c r="AD16" s="12">
        <v>28430.75</v>
      </c>
      <c r="AE16" s="12">
        <v>1241406.3600000003</v>
      </c>
      <c r="AF16" s="12">
        <f t="shared" si="23"/>
        <v>1269837.1100000003</v>
      </c>
      <c r="AG16" s="12">
        <f t="shared" si="9"/>
        <v>25948.23</v>
      </c>
      <c r="AH16" s="44">
        <f t="shared" si="4"/>
        <v>-14173162.890000001</v>
      </c>
      <c r="AI16" s="44">
        <f t="shared" si="5"/>
        <v>8.2227359321375406</v>
      </c>
      <c r="AJ16" s="12">
        <f t="shared" si="10"/>
        <v>-13190162.890000001</v>
      </c>
      <c r="AK16" s="44">
        <f t="shared" si="18"/>
        <v>8.7817227524204728</v>
      </c>
      <c r="AL16" s="12" t="e">
        <f>AF16-#REF!</f>
        <v>#REF!</v>
      </c>
      <c r="AM16" s="12" t="e">
        <f>IF(#REF!=0,0,AF16/#REF!*100)</f>
        <v>#REF!</v>
      </c>
      <c r="AN16" s="44">
        <f t="shared" si="11"/>
        <v>61957.110000000335</v>
      </c>
      <c r="AO16" s="44">
        <f t="shared" si="12"/>
        <v>105.1294093784151</v>
      </c>
      <c r="AP16" s="12">
        <f t="shared" si="13"/>
        <v>1175462.8200000003</v>
      </c>
      <c r="AQ16" s="44">
        <f t="shared" si="19"/>
        <v>1345.5328882474246</v>
      </c>
      <c r="AR16" s="12">
        <f t="shared" si="20"/>
        <v>109158.22000000044</v>
      </c>
      <c r="AS16" s="12">
        <f t="shared" si="21"/>
        <v>109.4046872860762</v>
      </c>
      <c r="AT16" s="34">
        <v>11117000</v>
      </c>
      <c r="AU16" s="86"/>
    </row>
    <row r="17" spans="1:47" s="10" customFormat="1" ht="24" customHeight="1" x14ac:dyDescent="0.3">
      <c r="A17" s="9"/>
      <c r="B17" s="124" t="s">
        <v>19</v>
      </c>
      <c r="C17" s="124"/>
      <c r="D17" s="124"/>
      <c r="E17" s="124"/>
      <c r="F17" s="124"/>
      <c r="G17" s="124"/>
      <c r="H17" s="124"/>
      <c r="I17" s="124"/>
      <c r="J17" s="12">
        <f t="shared" ref="J17:AF17" si="31">J18+J19</f>
        <v>59077329.089999996</v>
      </c>
      <c r="K17" s="12">
        <f t="shared" si="31"/>
        <v>59077329.089999996</v>
      </c>
      <c r="L17" s="12">
        <f t="shared" si="31"/>
        <v>13651268.75</v>
      </c>
      <c r="M17" s="12">
        <f t="shared" si="31"/>
        <v>13651268.75</v>
      </c>
      <c r="N17" s="12">
        <f t="shared" si="31"/>
        <v>57000020</v>
      </c>
      <c r="O17" s="12">
        <f t="shared" si="31"/>
        <v>59153838.839999996</v>
      </c>
      <c r="P17" s="12">
        <f t="shared" si="31"/>
        <v>59153838.839999996</v>
      </c>
      <c r="Q17" s="12">
        <v>59153838.839999996</v>
      </c>
      <c r="R17" s="12">
        <f t="shared" si="31"/>
        <v>59153838.839999996</v>
      </c>
      <c r="S17" s="12">
        <f t="shared" si="31"/>
        <v>54189000</v>
      </c>
      <c r="T17" s="12">
        <f t="shared" si="31"/>
        <v>55922478.88000001</v>
      </c>
      <c r="U17" s="12">
        <f t="shared" ref="U17:X17" si="32">U18+U19</f>
        <v>55922478.88000001</v>
      </c>
      <c r="V17" s="12">
        <f t="shared" si="32"/>
        <v>9190891.0699999984</v>
      </c>
      <c r="W17" s="12"/>
      <c r="X17" s="12">
        <f t="shared" si="32"/>
        <v>0</v>
      </c>
      <c r="Y17" s="12">
        <f>Y18+Y19</f>
        <v>9190891.0699999984</v>
      </c>
      <c r="Z17" s="12">
        <f t="shared" ref="Z17:AC17" si="33">Z18+Z19</f>
        <v>57489000</v>
      </c>
      <c r="AA17" s="12">
        <f t="shared" si="33"/>
        <v>56779000</v>
      </c>
      <c r="AB17" s="12">
        <f t="shared" si="33"/>
        <v>10240923</v>
      </c>
      <c r="AC17" s="12">
        <f t="shared" si="33"/>
        <v>149339.94</v>
      </c>
      <c r="AD17" s="12">
        <f t="shared" ref="AD17" si="34">AD18+AD19</f>
        <v>6173424.0899999999</v>
      </c>
      <c r="AE17" s="12">
        <v>10874631.069999998</v>
      </c>
      <c r="AF17" s="12">
        <f t="shared" si="31"/>
        <v>17048055.16</v>
      </c>
      <c r="AG17" s="12">
        <f t="shared" si="9"/>
        <v>6024084.1499999994</v>
      </c>
      <c r="AH17" s="44">
        <f t="shared" si="4"/>
        <v>-40440944.840000004</v>
      </c>
      <c r="AI17" s="44">
        <f t="shared" si="5"/>
        <v>29.654464610621162</v>
      </c>
      <c r="AJ17" s="12">
        <f t="shared" si="10"/>
        <v>-39730944.840000004</v>
      </c>
      <c r="AK17" s="44">
        <f t="shared" si="18"/>
        <v>30.025282516423324</v>
      </c>
      <c r="AL17" s="12" t="e">
        <f>AF17-#REF!</f>
        <v>#REF!</v>
      </c>
      <c r="AM17" s="12" t="e">
        <f>IF(#REF!=0,0,AF17/#REF!*100)</f>
        <v>#REF!</v>
      </c>
      <c r="AN17" s="44">
        <f t="shared" si="11"/>
        <v>6807132.1600000001</v>
      </c>
      <c r="AO17" s="44">
        <f t="shared" si="12"/>
        <v>166.46990862054133</v>
      </c>
      <c r="AP17" s="12">
        <f t="shared" si="13"/>
        <v>7857164.0900000017</v>
      </c>
      <c r="AQ17" s="44">
        <f t="shared" si="19"/>
        <v>185.48859985563951</v>
      </c>
      <c r="AR17" s="12">
        <f t="shared" si="20"/>
        <v>3396786.41</v>
      </c>
      <c r="AS17" s="12">
        <f t="shared" si="21"/>
        <v>124.8825693216244</v>
      </c>
      <c r="AT17" s="34">
        <f>AT18+AT19</f>
        <v>17048055.16</v>
      </c>
      <c r="AU17" s="5"/>
    </row>
    <row r="18" spans="1:47" s="5" customFormat="1" ht="63.75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v>9191306.0299999993</v>
      </c>
      <c r="W18" s="53"/>
      <c r="X18" s="53"/>
      <c r="Y18" s="13">
        <f>V18</f>
        <v>9191306.0299999993</v>
      </c>
      <c r="Z18" s="66">
        <v>23363753.050000001</v>
      </c>
      <c r="AA18" s="66">
        <v>22995495</v>
      </c>
      <c r="AB18" s="16">
        <v>8455456</v>
      </c>
      <c r="AC18" s="13">
        <f>112255.26</f>
        <v>112255.26</v>
      </c>
      <c r="AD18" s="13">
        <v>6119442.4699999997</v>
      </c>
      <c r="AE18" s="13">
        <v>8796293.2499999981</v>
      </c>
      <c r="AF18" s="13">
        <f t="shared" si="23"/>
        <v>14915735.719999999</v>
      </c>
      <c r="AG18" s="13">
        <f t="shared" si="9"/>
        <v>6007187.21</v>
      </c>
      <c r="AH18" s="44">
        <f t="shared" si="4"/>
        <v>-8448017.3300000019</v>
      </c>
      <c r="AI18" s="44">
        <f t="shared" si="5"/>
        <v>63.8413515503238</v>
      </c>
      <c r="AJ18" s="13">
        <f t="shared" si="10"/>
        <v>-8079759.2800000012</v>
      </c>
      <c r="AK18" s="44">
        <f t="shared" si="18"/>
        <v>64.863729700099952</v>
      </c>
      <c r="AL18" s="13" t="e">
        <f>AF18-#REF!</f>
        <v>#REF!</v>
      </c>
      <c r="AM18" s="13" t="e">
        <f>IF(#REF!=0,0,AF18/#REF!*100)</f>
        <v>#REF!</v>
      </c>
      <c r="AN18" s="44">
        <f t="shared" si="11"/>
        <v>6460279.7199999988</v>
      </c>
      <c r="AO18" s="44">
        <f t="shared" si="12"/>
        <v>176.40368207226197</v>
      </c>
      <c r="AP18" s="13">
        <f t="shared" si="13"/>
        <v>5724429.6899999995</v>
      </c>
      <c r="AQ18" s="44">
        <f t="shared" si="19"/>
        <v>162.28091711140641</v>
      </c>
      <c r="AR18" s="13">
        <f t="shared" si="20"/>
        <v>4830119.209999999</v>
      </c>
      <c r="AS18" s="13">
        <f t="shared" si="21"/>
        <v>147.89116466217888</v>
      </c>
      <c r="AT18" s="31">
        <f>AF18</f>
        <v>14915735.719999999</v>
      </c>
      <c r="AU18" s="86"/>
    </row>
    <row r="19" spans="1:47" s="5" customFormat="1" ht="61.5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-414.96</v>
      </c>
      <c r="W19" s="53"/>
      <c r="X19" s="53"/>
      <c r="Y19" s="13">
        <f>V19</f>
        <v>-414.96</v>
      </c>
      <c r="Z19" s="66">
        <v>34125246.950000003</v>
      </c>
      <c r="AA19" s="66">
        <v>33783505</v>
      </c>
      <c r="AB19" s="16">
        <v>1785467</v>
      </c>
      <c r="AC19" s="13">
        <f>37084.68</f>
        <v>37084.68</v>
      </c>
      <c r="AD19" s="13">
        <v>53981.62</v>
      </c>
      <c r="AE19" s="13">
        <v>2078337.8199999998</v>
      </c>
      <c r="AF19" s="13">
        <f t="shared" si="23"/>
        <v>2132319.44</v>
      </c>
      <c r="AG19" s="13">
        <f t="shared" si="9"/>
        <v>16896.940000000002</v>
      </c>
      <c r="AH19" s="44">
        <f t="shared" si="4"/>
        <v>-31992927.510000002</v>
      </c>
      <c r="AI19" s="44">
        <f t="shared" si="5"/>
        <v>6.2485099173765821</v>
      </c>
      <c r="AJ19" s="13">
        <f t="shared" si="10"/>
        <v>-31651185.559999999</v>
      </c>
      <c r="AK19" s="44">
        <f t="shared" si="18"/>
        <v>6.3117176266938557</v>
      </c>
      <c r="AL19" s="13" t="e">
        <f>AF19-#REF!</f>
        <v>#REF!</v>
      </c>
      <c r="AM19" s="13" t="e">
        <f>IF(#REF!=0,0,AF19/#REF!*100)</f>
        <v>#REF!</v>
      </c>
      <c r="AN19" s="44">
        <f t="shared" si="11"/>
        <v>346852.43999999994</v>
      </c>
      <c r="AO19" s="44">
        <f t="shared" si="12"/>
        <v>119.42642681158486</v>
      </c>
      <c r="AP19" s="13">
        <f t="shared" si="13"/>
        <v>2132734.4</v>
      </c>
      <c r="AQ19" s="118">
        <f>AF19/Y19%</f>
        <v>-513861.44206670526</v>
      </c>
      <c r="AR19" s="13">
        <f t="shared" si="20"/>
        <v>-1433332.8000000003</v>
      </c>
      <c r="AS19" s="13">
        <f t="shared" si="21"/>
        <v>59.801665907834014</v>
      </c>
      <c r="AT19" s="31">
        <f>AF19</f>
        <v>2132319.44</v>
      </c>
      <c r="AU19" s="86"/>
    </row>
    <row r="20" spans="1:47" s="10" customFormat="1" ht="30.75" customHeight="1" x14ac:dyDescent="0.3">
      <c r="A20" s="9"/>
      <c r="B20" s="124" t="s">
        <v>18</v>
      </c>
      <c r="C20" s="124"/>
      <c r="D20" s="124"/>
      <c r="E20" s="124"/>
      <c r="F20" s="124"/>
      <c r="G20" s="124"/>
      <c r="H20" s="124"/>
      <c r="I20" s="124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2146513.1</v>
      </c>
      <c r="W20" s="12"/>
      <c r="X20" s="12"/>
      <c r="Y20" s="12">
        <f>V20</f>
        <v>2146513.1</v>
      </c>
      <c r="Z20" s="12">
        <v>7706000</v>
      </c>
      <c r="AA20" s="12">
        <v>7743000</v>
      </c>
      <c r="AB20" s="12">
        <v>2877190</v>
      </c>
      <c r="AC20" s="12">
        <f>97652.12+36190.57</f>
        <v>133842.69</v>
      </c>
      <c r="AD20" s="12">
        <v>101373.66</v>
      </c>
      <c r="AE20" s="12">
        <v>2462349.7999999998</v>
      </c>
      <c r="AF20" s="12">
        <f t="shared" si="23"/>
        <v>2563723.46</v>
      </c>
      <c r="AG20" s="12">
        <f t="shared" si="9"/>
        <v>-32469.03</v>
      </c>
      <c r="AH20" s="44">
        <f t="shared" si="4"/>
        <v>-5142276.54</v>
      </c>
      <c r="AI20" s="44">
        <f t="shared" si="5"/>
        <v>33.269185829223979</v>
      </c>
      <c r="AJ20" s="12">
        <f t="shared" si="10"/>
        <v>-5179276.54</v>
      </c>
      <c r="AK20" s="44">
        <f t="shared" si="18"/>
        <v>33.110208704636449</v>
      </c>
      <c r="AL20" s="12" t="e">
        <f>AF20-#REF!</f>
        <v>#REF!</v>
      </c>
      <c r="AM20" s="12" t="e">
        <f>IF(#REF!=0,0,AF20/#REF!*100)</f>
        <v>#REF!</v>
      </c>
      <c r="AN20" s="44">
        <f t="shared" si="11"/>
        <v>-313466.54000000004</v>
      </c>
      <c r="AO20" s="44">
        <f t="shared" si="12"/>
        <v>89.105115060180239</v>
      </c>
      <c r="AP20" s="12">
        <f t="shared" si="13"/>
        <v>417210.35999999987</v>
      </c>
      <c r="AQ20" s="44">
        <f t="shared" ref="AQ20:AQ63" si="35">AF20/Y20%</f>
        <v>119.43665566261859</v>
      </c>
      <c r="AR20" s="12">
        <f t="shared" si="20"/>
        <v>-510296</v>
      </c>
      <c r="AS20" s="12">
        <f t="shared" si="21"/>
        <v>83.399714717485878</v>
      </c>
      <c r="AT20" s="34">
        <f>AF20</f>
        <v>2563723.46</v>
      </c>
      <c r="AU20" s="86"/>
    </row>
    <row r="21" spans="1:47" s="10" customFormat="1" ht="62.25" customHeight="1" x14ac:dyDescent="0.3">
      <c r="A21" s="9"/>
      <c r="B21" s="136" t="s">
        <v>57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7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3"/>
        <v>0</v>
      </c>
      <c r="AG21" s="12">
        <v>0</v>
      </c>
      <c r="AH21" s="44">
        <f t="shared" si="4"/>
        <v>0</v>
      </c>
      <c r="AI21" s="44">
        <v>0</v>
      </c>
      <c r="AJ21" s="12">
        <f t="shared" si="10"/>
        <v>0</v>
      </c>
      <c r="AK21" s="44">
        <v>0</v>
      </c>
      <c r="AL21" s="12"/>
      <c r="AM21" s="12"/>
      <c r="AN21" s="44">
        <f t="shared" si="11"/>
        <v>0</v>
      </c>
      <c r="AO21" s="44">
        <v>0</v>
      </c>
      <c r="AP21" s="12">
        <f t="shared" si="13"/>
        <v>0</v>
      </c>
      <c r="AQ21" s="44">
        <v>0</v>
      </c>
      <c r="AR21" s="12"/>
      <c r="AS21" s="12"/>
      <c r="AT21" s="34"/>
    </row>
    <row r="22" spans="1:47" s="10" customFormat="1" ht="37.5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68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6">S23+S36+S37+S45+S48+S50</f>
        <v>86476358.480000004</v>
      </c>
      <c r="T22" s="71">
        <f t="shared" si="36"/>
        <v>93832615.929999977</v>
      </c>
      <c r="U22" s="71">
        <f>U23+U36+U37+U45+U48+U50</f>
        <v>91729067.069999978</v>
      </c>
      <c r="V22" s="71">
        <f>V23+V36+V37+V45+V48+V50</f>
        <v>36762636.5</v>
      </c>
      <c r="W22" s="71"/>
      <c r="X22" s="71">
        <f t="shared" ref="X22:AC22" si="37">X23+X36+X37+X45+X48+X50</f>
        <v>0</v>
      </c>
      <c r="Y22" s="71">
        <f t="shared" si="37"/>
        <v>36762636.5</v>
      </c>
      <c r="Z22" s="71">
        <f t="shared" si="37"/>
        <v>76980199.650000006</v>
      </c>
      <c r="AA22" s="71">
        <f t="shared" si="37"/>
        <v>84215232.859999999</v>
      </c>
      <c r="AB22" s="71">
        <f t="shared" si="37"/>
        <v>34305009.120000005</v>
      </c>
      <c r="AC22" s="71">
        <f t="shared" si="37"/>
        <v>2330204.0900000003</v>
      </c>
      <c r="AD22" s="71">
        <f t="shared" ref="AD22" si="38">AD23+AD36+AD37+AD45+AD48+AD50</f>
        <v>1093160.43</v>
      </c>
      <c r="AE22" s="71">
        <v>34676272.210000001</v>
      </c>
      <c r="AF22" s="71">
        <f>AF23+AF36+AF37+AF45+AF48+AF50</f>
        <v>35769432.640000001</v>
      </c>
      <c r="AG22" s="71">
        <f t="shared" ref="AG22" si="39">AD22-AC22</f>
        <v>-1237043.6600000004</v>
      </c>
      <c r="AH22" s="72">
        <f t="shared" si="4"/>
        <v>-41210767.010000005</v>
      </c>
      <c r="AI22" s="72">
        <f t="shared" ref="AI22" si="40">AF22/Z22*100</f>
        <v>46.465757172143157</v>
      </c>
      <c r="AJ22" s="71">
        <f t="shared" si="10"/>
        <v>-48445800.219999999</v>
      </c>
      <c r="AK22" s="72">
        <f t="shared" ref="AK22" si="41">AF22/AA22%</f>
        <v>42.473827388761556</v>
      </c>
      <c r="AL22" s="71" t="e">
        <f>AF22-#REF!</f>
        <v>#REF!</v>
      </c>
      <c r="AM22" s="71" t="e">
        <f>IF(#REF!=0,0,AF22/#REF!*100)</f>
        <v>#REF!</v>
      </c>
      <c r="AN22" s="72">
        <f t="shared" si="11"/>
        <v>1464423.5199999958</v>
      </c>
      <c r="AO22" s="72">
        <f t="shared" ref="AO22" si="42">AF22/AB22*100</f>
        <v>104.26883291264373</v>
      </c>
      <c r="AP22" s="71">
        <f t="shared" si="13"/>
        <v>-993203.8599999994</v>
      </c>
      <c r="AQ22" s="72">
        <f t="shared" ref="AQ22" si="43">AF22/Y22%</f>
        <v>97.29833343155353</v>
      </c>
      <c r="AR22" s="12"/>
      <c r="AS22" s="12"/>
      <c r="AT22" s="34"/>
    </row>
    <row r="23" spans="1:47" s="10" customFormat="1" ht="83.25" customHeight="1" x14ac:dyDescent="0.3">
      <c r="A23" s="9"/>
      <c r="B23" s="124" t="s">
        <v>17</v>
      </c>
      <c r="C23" s="124"/>
      <c r="D23" s="124"/>
      <c r="E23" s="124"/>
      <c r="F23" s="124"/>
      <c r="G23" s="124"/>
      <c r="H23" s="124"/>
      <c r="I23" s="124"/>
      <c r="J23" s="60">
        <f t="shared" ref="J23:AF23" si="44">J24+J27+J29+J31</f>
        <v>39449619.330000006</v>
      </c>
      <c r="K23" s="60">
        <f t="shared" si="44"/>
        <v>39449619.330000006</v>
      </c>
      <c r="L23" s="60">
        <f t="shared" si="44"/>
        <v>10238465.989999998</v>
      </c>
      <c r="M23" s="60">
        <f t="shared" si="44"/>
        <v>10238465.989999998</v>
      </c>
      <c r="N23" s="12">
        <f t="shared" si="44"/>
        <v>42188190.339999996</v>
      </c>
      <c r="O23" s="12">
        <f t="shared" si="44"/>
        <v>49536681.379999995</v>
      </c>
      <c r="P23" s="12">
        <f t="shared" si="44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5">S24+S27+S29+S31</f>
        <v>42777461.119999997</v>
      </c>
      <c r="T23" s="12">
        <f t="shared" si="45"/>
        <v>47630236.639999993</v>
      </c>
      <c r="U23" s="12">
        <f>U24+U27+U29+U31</f>
        <v>46969616.779999994</v>
      </c>
      <c r="V23" s="12">
        <f t="shared" ref="V23:X23" si="46">V24+V27+V29+V31</f>
        <v>15608988.940000001</v>
      </c>
      <c r="W23" s="12"/>
      <c r="X23" s="12">
        <f t="shared" si="46"/>
        <v>0</v>
      </c>
      <c r="Y23" s="12">
        <f>Y24+Y27+Y29+Y31</f>
        <v>15608988.940000001</v>
      </c>
      <c r="Z23" s="12">
        <f t="shared" ref="Z23:AB23" si="47">Z24+Z27+Z29+Z31</f>
        <v>47029000</v>
      </c>
      <c r="AA23" s="12">
        <f t="shared" si="47"/>
        <v>49534190</v>
      </c>
      <c r="AB23" s="12">
        <f t="shared" si="47"/>
        <v>16443902.310000001</v>
      </c>
      <c r="AC23" s="12">
        <f>AC24+AC27+AC29+AC31</f>
        <v>312941.33</v>
      </c>
      <c r="AD23" s="12">
        <f>AD24+AD27+AD29+AD31</f>
        <v>240955.71000000002</v>
      </c>
      <c r="AE23" s="12">
        <v>14572168.029999999</v>
      </c>
      <c r="AF23" s="12">
        <f t="shared" si="44"/>
        <v>14813123.74</v>
      </c>
      <c r="AG23" s="12">
        <f t="shared" si="9"/>
        <v>-71985.62</v>
      </c>
      <c r="AH23" s="44">
        <f t="shared" si="4"/>
        <v>-32215876.259999998</v>
      </c>
      <c r="AI23" s="44">
        <f t="shared" si="5"/>
        <v>31.497849709753556</v>
      </c>
      <c r="AJ23" s="12">
        <f t="shared" si="10"/>
        <v>-34721066.259999998</v>
      </c>
      <c r="AK23" s="44">
        <f t="shared" si="18"/>
        <v>29.904847015768301</v>
      </c>
      <c r="AL23" s="12" t="e">
        <f>AF23-#REF!</f>
        <v>#REF!</v>
      </c>
      <c r="AM23" s="12" t="e">
        <f>IF(#REF!=0,0,AF23/#REF!*100)</f>
        <v>#REF!</v>
      </c>
      <c r="AN23" s="44">
        <f t="shared" si="11"/>
        <v>-1630778.5700000003</v>
      </c>
      <c r="AO23" s="44">
        <f t="shared" si="12"/>
        <v>90.082776343129467</v>
      </c>
      <c r="AP23" s="12">
        <f t="shared" si="13"/>
        <v>-795865.20000000112</v>
      </c>
      <c r="AQ23" s="44">
        <f t="shared" si="35"/>
        <v>94.901237978582358</v>
      </c>
      <c r="AR23" s="12">
        <f>AF23-M23</f>
        <v>4574657.7500000019</v>
      </c>
      <c r="AS23" s="12">
        <f>IF(M23=0,0,AF23/M23*100)</f>
        <v>144.68108556953857</v>
      </c>
      <c r="AT23" s="34">
        <f>AT24+AT27+AT29+AT31</f>
        <v>14424306.41</v>
      </c>
    </row>
    <row r="24" spans="1:47" s="5" customFormat="1" ht="114.75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69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8">U25+U26</f>
        <v>44043460.589999996</v>
      </c>
      <c r="V24" s="12">
        <f>V25+V26</f>
        <v>14663239.4</v>
      </c>
      <c r="W24" s="13"/>
      <c r="X24" s="13">
        <f t="shared" si="48"/>
        <v>0</v>
      </c>
      <c r="Y24" s="12">
        <f t="shared" si="48"/>
        <v>14663239.4</v>
      </c>
      <c r="Z24" s="12">
        <f t="shared" si="48"/>
        <v>46880510</v>
      </c>
      <c r="AA24" s="12">
        <f>AA25+AA26</f>
        <v>48200367.740000002</v>
      </c>
      <c r="AB24" s="12">
        <f>AB25+AB26</f>
        <v>15639850</v>
      </c>
      <c r="AC24" s="12">
        <f>AC25+AC26</f>
        <v>269712.46000000002</v>
      </c>
      <c r="AD24" s="12">
        <f>AD25+AD26</f>
        <v>166614.1</v>
      </c>
      <c r="AE24" s="12">
        <v>13635048.989999998</v>
      </c>
      <c r="AF24" s="12">
        <f t="shared" ref="AF24" si="49">AF25+AF26</f>
        <v>13801663.09</v>
      </c>
      <c r="AG24" s="12">
        <f>AD24-AC24</f>
        <v>-103098.36000000002</v>
      </c>
      <c r="AH24" s="44">
        <f t="shared" si="4"/>
        <v>-33078846.91</v>
      </c>
      <c r="AI24" s="44">
        <f t="shared" si="5"/>
        <v>29.440087341199998</v>
      </c>
      <c r="AJ24" s="12">
        <f t="shared" si="10"/>
        <v>-34398704.650000006</v>
      </c>
      <c r="AK24" s="44">
        <f t="shared" si="18"/>
        <v>28.633937326885629</v>
      </c>
      <c r="AL24" s="12" t="e">
        <f>AF24-#REF!</f>
        <v>#REF!</v>
      </c>
      <c r="AM24" s="12" t="e">
        <f>IF(#REF!=0,0,AF24/#REF!*100)</f>
        <v>#REF!</v>
      </c>
      <c r="AN24" s="44">
        <f t="shared" si="11"/>
        <v>-1838186.9100000001</v>
      </c>
      <c r="AO24" s="44">
        <f t="shared" si="12"/>
        <v>88.24677404195053</v>
      </c>
      <c r="AP24" s="12">
        <f t="shared" si="13"/>
        <v>-861576.31000000052</v>
      </c>
      <c r="AQ24" s="44">
        <f t="shared" si="35"/>
        <v>94.124243037319573</v>
      </c>
      <c r="AR24" s="12">
        <f>AF24-M24</f>
        <v>3933518.4800000004</v>
      </c>
      <c r="AS24" s="12">
        <f>IF(M24=0,0,AF24/M24*100)</f>
        <v>139.86077054458571</v>
      </c>
      <c r="AT24" s="31">
        <f>AF24</f>
        <v>13801663.09</v>
      </c>
    </row>
    <row r="25" spans="1:47" s="5" customFormat="1" ht="37.5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70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10700353.550000001</v>
      </c>
      <c r="W25" s="13"/>
      <c r="X25" s="13"/>
      <c r="Y25" s="13">
        <f>V25</f>
        <v>10700353.550000001</v>
      </c>
      <c r="Z25" s="13">
        <v>34696660</v>
      </c>
      <c r="AA25" s="13">
        <v>36508280</v>
      </c>
      <c r="AB25" s="13">
        <v>11694800</v>
      </c>
      <c r="AC25" s="13">
        <f>91200</f>
        <v>91200</v>
      </c>
      <c r="AD25" s="13">
        <v>43333.82</v>
      </c>
      <c r="AE25" s="13">
        <v>9732688.4299999997</v>
      </c>
      <c r="AF25" s="13">
        <f t="shared" si="23"/>
        <v>9776022.25</v>
      </c>
      <c r="AG25" s="13">
        <f>AD25-AC25</f>
        <v>-47866.18</v>
      </c>
      <c r="AH25" s="44">
        <f t="shared" si="4"/>
        <v>-24920637.75</v>
      </c>
      <c r="AI25" s="44">
        <f t="shared" si="5"/>
        <v>28.175686795213139</v>
      </c>
      <c r="AJ25" s="13">
        <f t="shared" si="10"/>
        <v>-26732257.75</v>
      </c>
      <c r="AK25" s="42">
        <f t="shared" si="18"/>
        <v>26.777548134286249</v>
      </c>
      <c r="AL25" s="13"/>
      <c r="AM25" s="13"/>
      <c r="AN25" s="42">
        <f t="shared" si="11"/>
        <v>-1918777.75</v>
      </c>
      <c r="AO25" s="42">
        <f t="shared" si="12"/>
        <v>83.592898125662686</v>
      </c>
      <c r="AP25" s="13">
        <f t="shared" si="13"/>
        <v>-924331.30000000075</v>
      </c>
      <c r="AQ25" s="42">
        <f t="shared" si="35"/>
        <v>91.361675147640327</v>
      </c>
      <c r="AR25" s="12"/>
      <c r="AS25" s="12"/>
      <c r="AT25" s="31"/>
    </row>
    <row r="26" spans="1:47" s="5" customFormat="1" ht="81.75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83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v>3962885.85</v>
      </c>
      <c r="W26" s="16"/>
      <c r="X26" s="16"/>
      <c r="Y26" s="13">
        <f>V26</f>
        <v>3962885.85</v>
      </c>
      <c r="Z26" s="13">
        <v>12183850</v>
      </c>
      <c r="AA26" s="13">
        <f>6966987.74+4725100</f>
        <v>11692087.74</v>
      </c>
      <c r="AB26" s="13">
        <f>2279850+1665200</f>
        <v>3945050</v>
      </c>
      <c r="AC26" s="13">
        <f>161411.14+17101.32</f>
        <v>178512.46000000002</v>
      </c>
      <c r="AD26" s="13">
        <v>123280.28</v>
      </c>
      <c r="AE26" s="13">
        <v>3902360.5599999996</v>
      </c>
      <c r="AF26" s="13">
        <f t="shared" si="23"/>
        <v>4025640.8399999994</v>
      </c>
      <c r="AG26" s="13">
        <f>AD26-AC26</f>
        <v>-55232.180000000022</v>
      </c>
      <c r="AH26" s="44">
        <f t="shared" si="4"/>
        <v>-8158209.1600000001</v>
      </c>
      <c r="AI26" s="44">
        <f t="shared" si="5"/>
        <v>33.040794494351125</v>
      </c>
      <c r="AJ26" s="12">
        <f t="shared" si="10"/>
        <v>-7666446.9000000004</v>
      </c>
      <c r="AK26" s="42">
        <f t="shared" si="18"/>
        <v>34.430470669731733</v>
      </c>
      <c r="AL26" s="13"/>
      <c r="AM26" s="13"/>
      <c r="AN26" s="42">
        <f t="shared" si="11"/>
        <v>80590.839999999385</v>
      </c>
      <c r="AO26" s="42">
        <f t="shared" si="12"/>
        <v>102.04283443809329</v>
      </c>
      <c r="AP26" s="13">
        <f t="shared" si="13"/>
        <v>62754.989999999292</v>
      </c>
      <c r="AQ26" s="42">
        <f t="shared" si="35"/>
        <v>101.58356794455736</v>
      </c>
      <c r="AR26" s="12"/>
      <c r="AS26" s="12"/>
      <c r="AT26" s="31"/>
      <c r="AU26" s="107" t="s">
        <v>95</v>
      </c>
    </row>
    <row r="27" spans="1:47" s="5" customFormat="1" ht="80.25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71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0">S28</f>
        <v>989651.62</v>
      </c>
      <c r="T27" s="12">
        <f t="shared" si="50"/>
        <v>1733380.9700000002</v>
      </c>
      <c r="U27" s="13">
        <f t="shared" ref="U27:AB27" si="51">U28</f>
        <v>1733380.9700000002</v>
      </c>
      <c r="V27" s="12">
        <f t="shared" si="51"/>
        <v>535168.48</v>
      </c>
      <c r="W27" s="13"/>
      <c r="X27" s="13"/>
      <c r="Y27" s="12">
        <f t="shared" si="51"/>
        <v>535168.48</v>
      </c>
      <c r="Z27" s="12">
        <f t="shared" si="51"/>
        <v>100490</v>
      </c>
      <c r="AA27" s="12">
        <f t="shared" si="51"/>
        <v>549832.26</v>
      </c>
      <c r="AB27" s="12">
        <f t="shared" si="51"/>
        <v>397906.50999999995</v>
      </c>
      <c r="AC27" s="12">
        <f>AC28</f>
        <v>24516.43</v>
      </c>
      <c r="AD27" s="12">
        <f>AD28</f>
        <v>58505.79</v>
      </c>
      <c r="AE27" s="12">
        <v>533830.13</v>
      </c>
      <c r="AF27" s="12">
        <f t="shared" ref="AF27" si="52">AF28</f>
        <v>592335.92000000004</v>
      </c>
      <c r="AG27" s="12">
        <f t="shared" si="9"/>
        <v>33989.360000000001</v>
      </c>
      <c r="AH27" s="44">
        <f t="shared" si="4"/>
        <v>491845.92000000004</v>
      </c>
      <c r="AI27" s="44">
        <f t="shared" si="5"/>
        <v>589.44762662951541</v>
      </c>
      <c r="AJ27" s="12">
        <f t="shared" si="10"/>
        <v>42503.660000000033</v>
      </c>
      <c r="AK27" s="44">
        <f t="shared" si="18"/>
        <v>107.73029578148071</v>
      </c>
      <c r="AL27" s="12" t="e">
        <f>AF27-#REF!</f>
        <v>#REF!</v>
      </c>
      <c r="AM27" s="12" t="e">
        <f>IF(#REF!=0,0,AF27/#REF!*100)</f>
        <v>#REF!</v>
      </c>
      <c r="AN27" s="44">
        <f t="shared" si="11"/>
        <v>194429.41000000009</v>
      </c>
      <c r="AO27" s="44">
        <f t="shared" si="12"/>
        <v>148.86308846769057</v>
      </c>
      <c r="AP27" s="12">
        <f t="shared" si="13"/>
        <v>57167.440000000061</v>
      </c>
      <c r="AQ27" s="44">
        <f t="shared" si="35"/>
        <v>110.682138828505</v>
      </c>
      <c r="AR27" s="12">
        <f>AF27-M27</f>
        <v>258610.08000000002</v>
      </c>
      <c r="AS27" s="12">
        <f>IF(M27=0,0,AF27/M27*100)</f>
        <v>177.49177588406098</v>
      </c>
      <c r="AT27" s="31">
        <f>AF27</f>
        <v>592335.92000000004</v>
      </c>
    </row>
    <row r="28" spans="1:47" s="5" customFormat="1" ht="105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84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v>535168.48</v>
      </c>
      <c r="W28" s="16"/>
      <c r="X28" s="16"/>
      <c r="Y28" s="16">
        <f>V28</f>
        <v>535168.48</v>
      </c>
      <c r="Z28" s="16">
        <v>100490</v>
      </c>
      <c r="AA28" s="16">
        <f>109952.06+439880.2</f>
        <v>549832.26</v>
      </c>
      <c r="AB28" s="16">
        <f>84923.79+312982.72</f>
        <v>397906.50999999995</v>
      </c>
      <c r="AC28" s="13">
        <f>21936.43+2580</f>
        <v>24516.43</v>
      </c>
      <c r="AD28" s="13">
        <v>58505.79</v>
      </c>
      <c r="AE28" s="13">
        <v>533830.13</v>
      </c>
      <c r="AF28" s="13">
        <f t="shared" si="23"/>
        <v>592335.92000000004</v>
      </c>
      <c r="AG28" s="13">
        <f>AD28-AC28</f>
        <v>33989.360000000001</v>
      </c>
      <c r="AH28" s="44">
        <f t="shared" si="4"/>
        <v>491845.92000000004</v>
      </c>
      <c r="AI28" s="44">
        <f t="shared" si="5"/>
        <v>589.44762662951541</v>
      </c>
      <c r="AJ28" s="13">
        <f t="shared" si="10"/>
        <v>42503.660000000033</v>
      </c>
      <c r="AK28" s="42">
        <f t="shared" si="18"/>
        <v>107.73029578148071</v>
      </c>
      <c r="AL28" s="16"/>
      <c r="AM28" s="16"/>
      <c r="AN28" s="42">
        <f t="shared" si="11"/>
        <v>194429.41000000009</v>
      </c>
      <c r="AO28" s="42">
        <f t="shared" si="12"/>
        <v>148.86308846769057</v>
      </c>
      <c r="AP28" s="13">
        <f t="shared" si="13"/>
        <v>57167.440000000061</v>
      </c>
      <c r="AQ28" s="42">
        <f t="shared" si="35"/>
        <v>110.682138828505</v>
      </c>
      <c r="AR28" s="12"/>
      <c r="AS28" s="12"/>
      <c r="AT28" s="31"/>
      <c r="AU28" s="102"/>
    </row>
    <row r="29" spans="1:47" s="10" customFormat="1" ht="48" customHeight="1" x14ac:dyDescent="0.3">
      <c r="A29" s="9"/>
      <c r="B29" s="138" t="s">
        <v>16</v>
      </c>
      <c r="C29" s="138"/>
      <c r="D29" s="138"/>
      <c r="E29" s="138"/>
      <c r="F29" s="138"/>
      <c r="G29" s="138"/>
      <c r="H29" s="138"/>
      <c r="I29" s="138"/>
      <c r="J29" s="12">
        <f t="shared" ref="J29:AB29" si="53">J30</f>
        <v>13500</v>
      </c>
      <c r="K29" s="12">
        <f t="shared" si="53"/>
        <v>13500</v>
      </c>
      <c r="L29" s="12">
        <f t="shared" si="53"/>
        <v>13500</v>
      </c>
      <c r="M29" s="12">
        <f t="shared" si="53"/>
        <v>13500</v>
      </c>
      <c r="N29" s="12">
        <f t="shared" si="53"/>
        <v>145882.54999999999</v>
      </c>
      <c r="O29" s="12">
        <f t="shared" si="53"/>
        <v>145882.54999999999</v>
      </c>
      <c r="P29" s="12">
        <f t="shared" si="53"/>
        <v>145882.54999999999</v>
      </c>
      <c r="Q29" s="12">
        <v>145882.54999999999</v>
      </c>
      <c r="R29" s="12">
        <f t="shared" si="53"/>
        <v>145882.54999999999</v>
      </c>
      <c r="S29" s="12">
        <f t="shared" si="53"/>
        <v>65907.5</v>
      </c>
      <c r="T29" s="12">
        <f t="shared" si="53"/>
        <v>65907.5</v>
      </c>
      <c r="U29" s="12">
        <f>U30</f>
        <v>65907.5</v>
      </c>
      <c r="V29" s="12">
        <f t="shared" ref="V29:X29" si="54">V30</f>
        <v>65907.5</v>
      </c>
      <c r="W29" s="12"/>
      <c r="X29" s="12">
        <f t="shared" si="54"/>
        <v>0</v>
      </c>
      <c r="Y29" s="12">
        <f>Y30</f>
        <v>65907.5</v>
      </c>
      <c r="Z29" s="12">
        <f t="shared" si="53"/>
        <v>0</v>
      </c>
      <c r="AA29" s="12">
        <f t="shared" si="53"/>
        <v>60000</v>
      </c>
      <c r="AB29" s="12">
        <f t="shared" si="53"/>
        <v>60000</v>
      </c>
      <c r="AC29" s="12">
        <f>AC30</f>
        <v>0</v>
      </c>
      <c r="AD29" s="12">
        <f>AD30</f>
        <v>0</v>
      </c>
      <c r="AE29" s="12">
        <v>30307.4</v>
      </c>
      <c r="AF29" s="12">
        <f>AF30</f>
        <v>30307.4</v>
      </c>
      <c r="AG29" s="12">
        <f t="shared" si="9"/>
        <v>0</v>
      </c>
      <c r="AH29" s="44">
        <f t="shared" si="4"/>
        <v>30307.4</v>
      </c>
      <c r="AI29" s="44">
        <v>0</v>
      </c>
      <c r="AJ29" s="12">
        <f t="shared" si="10"/>
        <v>-29692.6</v>
      </c>
      <c r="AK29" s="44">
        <f t="shared" si="18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1"/>
        <v>-29692.6</v>
      </c>
      <c r="AO29" s="44">
        <f t="shared" si="12"/>
        <v>50.512333333333338</v>
      </c>
      <c r="AP29" s="12">
        <f t="shared" si="13"/>
        <v>-35600.1</v>
      </c>
      <c r="AQ29" s="44">
        <f t="shared" si="35"/>
        <v>45.984751356067214</v>
      </c>
      <c r="AR29" s="12">
        <f t="shared" ref="AR29:AR38" si="55">AF29-M29</f>
        <v>16807.400000000001</v>
      </c>
      <c r="AS29" s="12">
        <f t="shared" ref="AS29:AS38" si="56">IF(M29=0,0,AF29/M29*100)</f>
        <v>224.49925925925928</v>
      </c>
      <c r="AT29" s="34">
        <f t="shared" ref="AT29" si="57">AT30</f>
        <v>30307.4</v>
      </c>
    </row>
    <row r="30" spans="1:47" s="5" customFormat="1" ht="84.75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30307.4</v>
      </c>
      <c r="AF30" s="13">
        <f t="shared" si="23"/>
        <v>30307.4</v>
      </c>
      <c r="AG30" s="13">
        <f t="shared" si="9"/>
        <v>0</v>
      </c>
      <c r="AH30" s="44">
        <f t="shared" si="4"/>
        <v>30307.4</v>
      </c>
      <c r="AI30" s="44">
        <v>0</v>
      </c>
      <c r="AJ30" s="13">
        <f t="shared" si="10"/>
        <v>-29692.6</v>
      </c>
      <c r="AK30" s="42">
        <f t="shared" si="18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1"/>
        <v>-29692.6</v>
      </c>
      <c r="AO30" s="42">
        <f t="shared" si="12"/>
        <v>50.512333333333338</v>
      </c>
      <c r="AP30" s="13">
        <f t="shared" si="13"/>
        <v>-35600.1</v>
      </c>
      <c r="AQ30" s="42">
        <f t="shared" si="35"/>
        <v>45.984751356067214</v>
      </c>
      <c r="AR30" s="12">
        <f t="shared" si="55"/>
        <v>16807.400000000001</v>
      </c>
      <c r="AS30" s="12">
        <f t="shared" si="56"/>
        <v>224.49925925925928</v>
      </c>
      <c r="AT30" s="31">
        <f>AF30</f>
        <v>30307.4</v>
      </c>
    </row>
    <row r="31" spans="1:47" s="10" customFormat="1" ht="58.5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76</v>
      </c>
      <c r="J31" s="12">
        <f t="shared" ref="J31:R31" si="58">J35</f>
        <v>59624.2</v>
      </c>
      <c r="K31" s="12">
        <f t="shared" si="58"/>
        <v>59624.2</v>
      </c>
      <c r="L31" s="12">
        <f t="shared" si="58"/>
        <v>23095.54</v>
      </c>
      <c r="M31" s="12">
        <f t="shared" si="58"/>
        <v>23095.54</v>
      </c>
      <c r="N31" s="12">
        <f t="shared" si="58"/>
        <v>33317.79</v>
      </c>
      <c r="O31" s="12">
        <f t="shared" si="58"/>
        <v>67233.87</v>
      </c>
      <c r="P31" s="12">
        <f t="shared" si="58"/>
        <v>67233.87</v>
      </c>
      <c r="Q31" s="12">
        <v>67233.87</v>
      </c>
      <c r="R31" s="12">
        <f t="shared" si="58"/>
        <v>67233.87</v>
      </c>
      <c r="S31" s="12">
        <f t="shared" ref="S31:T31" si="59">S32+S33+S34+S35</f>
        <v>1027310</v>
      </c>
      <c r="T31" s="12">
        <f t="shared" si="59"/>
        <v>1126867.72</v>
      </c>
      <c r="U31" s="12">
        <f>U32+U33+U34+U35</f>
        <v>1126867.72</v>
      </c>
      <c r="V31" s="12">
        <f t="shared" ref="V31:Y31" si="60">V32+V33+V34+V35</f>
        <v>344673.56</v>
      </c>
      <c r="W31" s="12">
        <f t="shared" si="60"/>
        <v>0</v>
      </c>
      <c r="X31" s="12">
        <f t="shared" si="60"/>
        <v>0</v>
      </c>
      <c r="Y31" s="12">
        <f t="shared" si="60"/>
        <v>344673.56</v>
      </c>
      <c r="Z31" s="12">
        <f>Z32+Z33+Z34+Z35</f>
        <v>48000</v>
      </c>
      <c r="AA31" s="12">
        <f t="shared" ref="AA31" si="61">AA32+AA33+AA34+AA35</f>
        <v>723990</v>
      </c>
      <c r="AB31" s="12">
        <f t="shared" ref="AB31:AC31" si="62">AB32+AB33+AB34+AB35</f>
        <v>346145.8</v>
      </c>
      <c r="AC31" s="12">
        <f t="shared" si="62"/>
        <v>18712.440000000002</v>
      </c>
      <c r="AD31" s="12">
        <f t="shared" ref="AD31" si="63">AD32+AD33+AD34+AD35</f>
        <v>15835.82</v>
      </c>
      <c r="AE31" s="12">
        <v>372981.51000000007</v>
      </c>
      <c r="AF31" s="12">
        <f t="shared" ref="AF31" si="64">AF32+AF33+AF34+AF35</f>
        <v>388817.33000000007</v>
      </c>
      <c r="AG31" s="12">
        <f t="shared" si="9"/>
        <v>-2876.6200000000026</v>
      </c>
      <c r="AH31" s="44">
        <f t="shared" si="4"/>
        <v>340817.33000000007</v>
      </c>
      <c r="AI31" s="44">
        <v>0</v>
      </c>
      <c r="AJ31" s="12">
        <f t="shared" si="10"/>
        <v>-335172.66999999993</v>
      </c>
      <c r="AK31" s="44">
        <f t="shared" si="18"/>
        <v>53.704792883879627</v>
      </c>
      <c r="AL31" s="12" t="e">
        <f>AF31-#REF!</f>
        <v>#REF!</v>
      </c>
      <c r="AM31" s="12" t="e">
        <f>IF(#REF!=0,0,AF31/#REF!*100)</f>
        <v>#REF!</v>
      </c>
      <c r="AN31" s="44">
        <f t="shared" si="11"/>
        <v>42671.530000000086</v>
      </c>
      <c r="AO31" s="44">
        <f t="shared" si="12"/>
        <v>112.32761743750757</v>
      </c>
      <c r="AP31" s="12">
        <f t="shared" si="13"/>
        <v>44143.770000000077</v>
      </c>
      <c r="AQ31" s="44">
        <f t="shared" si="35"/>
        <v>112.80741406448469</v>
      </c>
      <c r="AR31" s="12">
        <f t="shared" si="55"/>
        <v>365721.7900000001</v>
      </c>
      <c r="AS31" s="12">
        <f t="shared" si="56"/>
        <v>1683.5169474279453</v>
      </c>
      <c r="AT31" s="34">
        <f t="shared" ref="AT31" si="65">AT35</f>
        <v>0</v>
      </c>
    </row>
    <row r="32" spans="1:47" s="10" customFormat="1" ht="58.5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85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296206.65000000002</v>
      </c>
      <c r="W32" s="13"/>
      <c r="X32" s="13"/>
      <c r="Y32" s="13">
        <f>V32</f>
        <v>296206.65000000002</v>
      </c>
      <c r="Z32" s="13"/>
      <c r="AA32" s="13">
        <v>649240</v>
      </c>
      <c r="AB32" s="13">
        <v>312000</v>
      </c>
      <c r="AC32" s="113">
        <v>4000</v>
      </c>
      <c r="AD32" s="113">
        <v>9132.4</v>
      </c>
      <c r="AE32" s="13">
        <v>300800.11000000004</v>
      </c>
      <c r="AF32" s="13">
        <f t="shared" si="23"/>
        <v>309932.51000000007</v>
      </c>
      <c r="AG32" s="13">
        <f t="shared" si="9"/>
        <v>5132.3999999999996</v>
      </c>
      <c r="AH32" s="44"/>
      <c r="AI32" s="44"/>
      <c r="AJ32" s="13">
        <f t="shared" si="10"/>
        <v>-339307.48999999993</v>
      </c>
      <c r="AK32" s="42">
        <f t="shared" si="18"/>
        <v>47.737741051075119</v>
      </c>
      <c r="AL32" s="12"/>
      <c r="AM32" s="12"/>
      <c r="AN32" s="42">
        <f t="shared" si="11"/>
        <v>-2067.4899999999325</v>
      </c>
      <c r="AO32" s="42">
        <f t="shared" si="12"/>
        <v>99.337342948717961</v>
      </c>
      <c r="AP32" s="13">
        <f t="shared" si="13"/>
        <v>13725.860000000044</v>
      </c>
      <c r="AQ32" s="42">
        <f t="shared" si="35"/>
        <v>104.63387975928293</v>
      </c>
      <c r="AR32" s="12"/>
      <c r="AS32" s="12"/>
      <c r="AT32" s="34"/>
    </row>
    <row r="33" spans="1:47" s="10" customFormat="1" ht="58.5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86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27382.22</v>
      </c>
      <c r="W33" s="13"/>
      <c r="X33" s="13"/>
      <c r="Y33" s="13">
        <f t="shared" ref="Y33:Y35" si="66">V33</f>
        <v>27382.22</v>
      </c>
      <c r="Z33" s="13"/>
      <c r="AA33" s="13">
        <v>74750</v>
      </c>
      <c r="AB33" s="13">
        <v>0</v>
      </c>
      <c r="AC33" s="113">
        <v>14712.44</v>
      </c>
      <c r="AD33" s="113">
        <v>6703.42</v>
      </c>
      <c r="AE33" s="13">
        <v>50372.400000000009</v>
      </c>
      <c r="AF33" s="13">
        <f t="shared" si="23"/>
        <v>57075.820000000007</v>
      </c>
      <c r="AG33" s="13">
        <f t="shared" si="9"/>
        <v>-8009.02</v>
      </c>
      <c r="AH33" s="44"/>
      <c r="AI33" s="44"/>
      <c r="AJ33" s="13">
        <f t="shared" si="10"/>
        <v>-17674.179999999993</v>
      </c>
      <c r="AK33" s="42">
        <f t="shared" si="18"/>
        <v>76.355612040133792</v>
      </c>
      <c r="AL33" s="12"/>
      <c r="AM33" s="12"/>
      <c r="AN33" s="42">
        <f t="shared" si="11"/>
        <v>57075.820000000007</v>
      </c>
      <c r="AO33" s="42">
        <v>0</v>
      </c>
      <c r="AP33" s="13">
        <f t="shared" si="13"/>
        <v>29693.600000000006</v>
      </c>
      <c r="AQ33" s="42">
        <f t="shared" si="35"/>
        <v>208.44117094961624</v>
      </c>
      <c r="AR33" s="12"/>
      <c r="AS33" s="12"/>
      <c r="AT33" s="34"/>
    </row>
    <row r="34" spans="1:47" s="10" customFormat="1" ht="58.5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87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6"/>
        <v>0</v>
      </c>
      <c r="Z34" s="13"/>
      <c r="AA34" s="13">
        <v>0</v>
      </c>
      <c r="AB34" s="13">
        <v>34145.800000000003</v>
      </c>
      <c r="AC34" s="113">
        <v>0</v>
      </c>
      <c r="AD34" s="113">
        <v>0</v>
      </c>
      <c r="AE34" s="13">
        <v>21809</v>
      </c>
      <c r="AF34" s="13">
        <f t="shared" si="23"/>
        <v>21809</v>
      </c>
      <c r="AG34" s="13">
        <f t="shared" si="9"/>
        <v>0</v>
      </c>
      <c r="AH34" s="44"/>
      <c r="AI34" s="44"/>
      <c r="AJ34" s="13">
        <f t="shared" si="10"/>
        <v>21809</v>
      </c>
      <c r="AK34" s="116">
        <v>0</v>
      </c>
      <c r="AL34" s="12"/>
      <c r="AM34" s="12"/>
      <c r="AN34" s="42">
        <f t="shared" si="11"/>
        <v>-12336.800000000003</v>
      </c>
      <c r="AO34" s="42">
        <f t="shared" si="12"/>
        <v>63.870227085029484</v>
      </c>
      <c r="AP34" s="13">
        <f t="shared" si="13"/>
        <v>21809</v>
      </c>
      <c r="AQ34" s="116" t="s">
        <v>98</v>
      </c>
      <c r="AR34" s="12"/>
      <c r="AS34" s="12"/>
      <c r="AT34" s="34"/>
    </row>
    <row r="35" spans="1:47" s="5" customFormat="1" ht="58.5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88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21084.69</v>
      </c>
      <c r="W35" s="13"/>
      <c r="X35" s="13"/>
      <c r="Y35" s="13">
        <f t="shared" si="66"/>
        <v>21084.69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3"/>
        <v>0</v>
      </c>
      <c r="AG35" s="13">
        <f t="shared" si="9"/>
        <v>0</v>
      </c>
      <c r="AH35" s="44">
        <f t="shared" si="4"/>
        <v>-48000</v>
      </c>
      <c r="AI35" s="44">
        <v>0</v>
      </c>
      <c r="AJ35" s="13">
        <f t="shared" si="10"/>
        <v>0</v>
      </c>
      <c r="AK35" s="116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1"/>
        <v>0</v>
      </c>
      <c r="AO35" s="116">
        <v>0</v>
      </c>
      <c r="AP35" s="13">
        <f t="shared" si="13"/>
        <v>-21084.69</v>
      </c>
      <c r="AQ35" s="42">
        <f t="shared" si="35"/>
        <v>0</v>
      </c>
      <c r="AR35" s="12">
        <f t="shared" si="55"/>
        <v>-23095.54</v>
      </c>
      <c r="AS35" s="12">
        <f t="shared" si="56"/>
        <v>0</v>
      </c>
      <c r="AT35" s="31">
        <f>AF35</f>
        <v>0</v>
      </c>
    </row>
    <row r="36" spans="1:47" s="10" customFormat="1" ht="40.5" customHeight="1" x14ac:dyDescent="0.3">
      <c r="A36" s="9"/>
      <c r="B36" s="124" t="s">
        <v>14</v>
      </c>
      <c r="C36" s="124"/>
      <c r="D36" s="124"/>
      <c r="E36" s="124"/>
      <c r="F36" s="124"/>
      <c r="G36" s="124"/>
      <c r="H36" s="124"/>
      <c r="I36" s="124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363111.7</v>
      </c>
      <c r="W36" s="12"/>
      <c r="X36" s="12"/>
      <c r="Y36" s="12">
        <f>V36</f>
        <v>363111.7</v>
      </c>
      <c r="Z36" s="12">
        <v>763440</v>
      </c>
      <c r="AA36" s="12">
        <v>447000</v>
      </c>
      <c r="AB36" s="12">
        <v>374127</v>
      </c>
      <c r="AC36" s="12">
        <v>0</v>
      </c>
      <c r="AD36" s="12">
        <v>869.61</v>
      </c>
      <c r="AE36" s="12">
        <v>976759.75999999989</v>
      </c>
      <c r="AF36" s="12">
        <f t="shared" si="23"/>
        <v>977629.36999999988</v>
      </c>
      <c r="AG36" s="12">
        <f t="shared" si="9"/>
        <v>869.61</v>
      </c>
      <c r="AH36" s="44">
        <f t="shared" si="4"/>
        <v>214189.36999999988</v>
      </c>
      <c r="AI36" s="44">
        <v>0</v>
      </c>
      <c r="AJ36" s="12">
        <f t="shared" si="10"/>
        <v>530629.36999999988</v>
      </c>
      <c r="AK36" s="44">
        <f t="shared" si="18"/>
        <v>218.70903131991048</v>
      </c>
      <c r="AL36" s="12" t="e">
        <f>AF36-#REF!</f>
        <v>#REF!</v>
      </c>
      <c r="AM36" s="12" t="e">
        <f>IF(#REF!=0,0,AF36/#REF!*100)</f>
        <v>#REF!</v>
      </c>
      <c r="AN36" s="44">
        <f t="shared" si="11"/>
        <v>603502.36999999988</v>
      </c>
      <c r="AO36" s="44">
        <f t="shared" si="12"/>
        <v>261.30949383498114</v>
      </c>
      <c r="AP36" s="12">
        <f t="shared" si="13"/>
        <v>614517.66999999993</v>
      </c>
      <c r="AQ36" s="44">
        <f t="shared" si="35"/>
        <v>269.23653795787902</v>
      </c>
      <c r="AR36" s="12">
        <f t="shared" si="55"/>
        <v>1035403.7299999999</v>
      </c>
      <c r="AS36" s="12">
        <f t="shared" si="56"/>
        <v>-1692.1509299280856</v>
      </c>
      <c r="AT36" s="34">
        <v>745000</v>
      </c>
    </row>
    <row r="37" spans="1:47" s="10" customFormat="1" ht="57.75" customHeight="1" x14ac:dyDescent="0.3">
      <c r="A37" s="9"/>
      <c r="B37" s="124" t="s">
        <v>13</v>
      </c>
      <c r="C37" s="124"/>
      <c r="D37" s="124"/>
      <c r="E37" s="124"/>
      <c r="F37" s="124"/>
      <c r="G37" s="124"/>
      <c r="H37" s="124"/>
      <c r="I37" s="124"/>
      <c r="J37" s="12">
        <f t="shared" ref="J37:N37" si="67">J38+J44</f>
        <v>26875602.490000002</v>
      </c>
      <c r="K37" s="12">
        <f t="shared" si="67"/>
        <v>26875602.490000002</v>
      </c>
      <c r="L37" s="12">
        <f t="shared" si="67"/>
        <v>10496131.460000001</v>
      </c>
      <c r="M37" s="12">
        <f t="shared" si="67"/>
        <v>10496131.460000001</v>
      </c>
      <c r="N37" s="12">
        <f t="shared" si="67"/>
        <v>29133952.98</v>
      </c>
      <c r="O37" s="12">
        <f>O38+O44</f>
        <v>30359839.810000002</v>
      </c>
      <c r="P37" s="12">
        <f t="shared" ref="P37" si="68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9">U38+U44</f>
        <v>34239492.269999996</v>
      </c>
      <c r="V37" s="12">
        <f t="shared" si="69"/>
        <v>15576209.219999999</v>
      </c>
      <c r="W37" s="12"/>
      <c r="X37" s="12">
        <f t="shared" si="69"/>
        <v>0</v>
      </c>
      <c r="Y37" s="12">
        <f t="shared" si="69"/>
        <v>15576209.219999999</v>
      </c>
      <c r="Z37" s="12">
        <f>Z38+Z44</f>
        <v>25090600</v>
      </c>
      <c r="AA37" s="12">
        <f>AA38+AA44</f>
        <v>29480458</v>
      </c>
      <c r="AB37" s="12">
        <f>AB38+AB44</f>
        <v>13442428.720000001</v>
      </c>
      <c r="AC37" s="12">
        <f t="shared" ref="AC37" si="70">AC38+AC44</f>
        <v>1790206.77</v>
      </c>
      <c r="AD37" s="12">
        <f t="shared" ref="AD37" si="71">AD38+AD44</f>
        <v>772072.92</v>
      </c>
      <c r="AE37" s="12">
        <v>15176060.649999999</v>
      </c>
      <c r="AF37" s="12">
        <f>AF38+AF44</f>
        <v>15948133.569999998</v>
      </c>
      <c r="AG37" s="12">
        <f t="shared" si="9"/>
        <v>-1018133.85</v>
      </c>
      <c r="AH37" s="44">
        <f t="shared" si="4"/>
        <v>-9142466.4300000016</v>
      </c>
      <c r="AI37" s="44">
        <v>0</v>
      </c>
      <c r="AJ37" s="12">
        <f t="shared" si="10"/>
        <v>-13532324.430000002</v>
      </c>
      <c r="AK37" s="44">
        <f t="shared" si="18"/>
        <v>54.097305984866303</v>
      </c>
      <c r="AL37" s="12" t="e">
        <f>AF37-#REF!</f>
        <v>#REF!</v>
      </c>
      <c r="AM37" s="12" t="e">
        <f>IF(#REF!=0,0,AF37/#REF!*100)</f>
        <v>#REF!</v>
      </c>
      <c r="AN37" s="44">
        <f t="shared" si="11"/>
        <v>2505704.8499999978</v>
      </c>
      <c r="AO37" s="44">
        <f t="shared" si="12"/>
        <v>118.64026882487346</v>
      </c>
      <c r="AP37" s="12">
        <f t="shared" si="13"/>
        <v>371924.34999999963</v>
      </c>
      <c r="AQ37" s="44">
        <f t="shared" si="35"/>
        <v>102.38777192028498</v>
      </c>
      <c r="AR37" s="12">
        <f t="shared" si="55"/>
        <v>5452002.1099999975</v>
      </c>
      <c r="AS37" s="12">
        <f t="shared" si="56"/>
        <v>151.94296709008631</v>
      </c>
      <c r="AT37" s="34">
        <f t="shared" ref="AT37" si="72">AT38+AT44</f>
        <v>15948133.569999998</v>
      </c>
    </row>
    <row r="38" spans="1:47" s="5" customFormat="1" ht="39" customHeight="1" x14ac:dyDescent="0.3">
      <c r="A38" s="4"/>
      <c r="B38" s="139" t="s">
        <v>59</v>
      </c>
      <c r="C38" s="139"/>
      <c r="D38" s="139"/>
      <c r="E38" s="139"/>
      <c r="F38" s="139"/>
      <c r="G38" s="139"/>
      <c r="H38" s="139"/>
      <c r="I38" s="139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3">S39+S40+S43+S41+S42</f>
        <v>34618925.310000002</v>
      </c>
      <c r="T38" s="13">
        <f t="shared" si="73"/>
        <v>35367638.399999999</v>
      </c>
      <c r="U38" s="13">
        <f>U39+U40+U43</f>
        <v>33924709.399999999</v>
      </c>
      <c r="V38" s="13">
        <f t="shared" ref="V38:AC38" si="74">V39+V40+V43+V41+V42</f>
        <v>15422279.619999999</v>
      </c>
      <c r="W38" s="13"/>
      <c r="X38" s="13">
        <f t="shared" si="74"/>
        <v>0</v>
      </c>
      <c r="Y38" s="13">
        <f t="shared" si="74"/>
        <v>15422279.619999999</v>
      </c>
      <c r="Z38" s="13">
        <f t="shared" si="74"/>
        <v>25090600</v>
      </c>
      <c r="AA38" s="13">
        <f t="shared" si="74"/>
        <v>29480458</v>
      </c>
      <c r="AB38" s="13">
        <f t="shared" si="74"/>
        <v>13442428.720000001</v>
      </c>
      <c r="AC38" s="13">
        <f t="shared" si="74"/>
        <v>1790206.77</v>
      </c>
      <c r="AD38" s="13">
        <f t="shared" ref="AD38" si="75">AD39+AD40+AD43+AD41+AD42</f>
        <v>772072.92</v>
      </c>
      <c r="AE38" s="13">
        <v>15156767.029999999</v>
      </c>
      <c r="AF38" s="13">
        <f>AF39+AF40+AF43+AF41+AF42</f>
        <v>15928839.949999999</v>
      </c>
      <c r="AG38" s="13">
        <f t="shared" si="9"/>
        <v>-1018133.85</v>
      </c>
      <c r="AH38" s="44">
        <f t="shared" si="4"/>
        <v>-9161760.0500000007</v>
      </c>
      <c r="AI38" s="44">
        <v>0</v>
      </c>
      <c r="AJ38" s="12">
        <f t="shared" si="10"/>
        <v>-13551618.050000001</v>
      </c>
      <c r="AK38" s="42">
        <f t="shared" si="18"/>
        <v>54.031860529439527</v>
      </c>
      <c r="AL38" s="13" t="e">
        <f>AF38-#REF!</f>
        <v>#REF!</v>
      </c>
      <c r="AM38" s="13" t="e">
        <f>IF(#REF!=0,0,AF38/#REF!*100)</f>
        <v>#REF!</v>
      </c>
      <c r="AN38" s="42">
        <f t="shared" si="11"/>
        <v>2486411.2299999986</v>
      </c>
      <c r="AO38" s="42">
        <f t="shared" si="12"/>
        <v>118.49674104130195</v>
      </c>
      <c r="AP38" s="13">
        <f t="shared" si="13"/>
        <v>506560.33000000007</v>
      </c>
      <c r="AQ38" s="42">
        <f t="shared" si="35"/>
        <v>103.2846008662888</v>
      </c>
      <c r="AR38" s="12">
        <f t="shared" si="55"/>
        <v>6057155.9699999988</v>
      </c>
      <c r="AS38" s="12">
        <f t="shared" si="56"/>
        <v>161.35889258886101</v>
      </c>
      <c r="AT38" s="31">
        <f>AF38</f>
        <v>15928839.949999999</v>
      </c>
    </row>
    <row r="39" spans="1:47" s="5" customFormat="1" ht="39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89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204089.52</v>
      </c>
      <c r="W39" s="31"/>
      <c r="X39" s="31"/>
      <c r="Y39" s="31">
        <f>V39</f>
        <v>204089.52</v>
      </c>
      <c r="Z39" s="31">
        <v>360000</v>
      </c>
      <c r="AA39" s="31">
        <v>380458</v>
      </c>
      <c r="AB39" s="31">
        <v>153000</v>
      </c>
      <c r="AC39" s="31">
        <f>4005+6285</f>
        <v>10290</v>
      </c>
      <c r="AD39" s="31">
        <v>12740</v>
      </c>
      <c r="AE39" s="31">
        <v>183656</v>
      </c>
      <c r="AF39" s="31">
        <f t="shared" si="23"/>
        <v>196396</v>
      </c>
      <c r="AG39" s="31">
        <f t="shared" si="9"/>
        <v>2450</v>
      </c>
      <c r="AH39" s="103">
        <f t="shared" si="4"/>
        <v>-163604</v>
      </c>
      <c r="AI39" s="103">
        <f>AF39/Z39*100</f>
        <v>54.554444444444449</v>
      </c>
      <c r="AJ39" s="31">
        <f t="shared" si="10"/>
        <v>-184062</v>
      </c>
      <c r="AK39" s="103">
        <f t="shared" si="18"/>
        <v>51.620941076281746</v>
      </c>
      <c r="AL39" s="31"/>
      <c r="AM39" s="31"/>
      <c r="AN39" s="103">
        <f t="shared" si="11"/>
        <v>43396</v>
      </c>
      <c r="AO39" s="103">
        <f t="shared" si="12"/>
        <v>128.36339869281045</v>
      </c>
      <c r="AP39" s="31">
        <f t="shared" si="13"/>
        <v>-7693.5199999999895</v>
      </c>
      <c r="AQ39" s="117">
        <f t="shared" si="35"/>
        <v>96.230320890558218</v>
      </c>
      <c r="AR39" s="12"/>
      <c r="AS39" s="12"/>
      <c r="AT39" s="31"/>
    </row>
    <row r="40" spans="1:47" s="5" customFormat="1" ht="39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90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6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7">T40</f>
        <v>33218079.799999997</v>
      </c>
      <c r="V40" s="31">
        <v>14568954.1</v>
      </c>
      <c r="W40" s="31"/>
      <c r="X40" s="31"/>
      <c r="Y40" s="31">
        <f>V40</f>
        <v>14568954.1</v>
      </c>
      <c r="Z40" s="31">
        <v>22830600</v>
      </c>
      <c r="AA40" s="31">
        <v>27500000</v>
      </c>
      <c r="AB40" s="31">
        <v>12905080</v>
      </c>
      <c r="AC40" s="31">
        <f>1583959.27+164550.5</f>
        <v>1748509.77</v>
      </c>
      <c r="AD40" s="31">
        <v>725516.92</v>
      </c>
      <c r="AE40" s="31">
        <v>14066757.029999999</v>
      </c>
      <c r="AF40" s="31">
        <f t="shared" si="23"/>
        <v>14792273.949999999</v>
      </c>
      <c r="AG40" s="31">
        <f t="shared" si="9"/>
        <v>-1022992.85</v>
      </c>
      <c r="AH40" s="103">
        <f t="shared" si="4"/>
        <v>-8038326.0500000007</v>
      </c>
      <c r="AI40" s="103">
        <f>AF40/Z40*100</f>
        <v>64.791437588149236</v>
      </c>
      <c r="AJ40" s="31">
        <f t="shared" si="10"/>
        <v>-12707726.050000001</v>
      </c>
      <c r="AK40" s="103">
        <f t="shared" si="18"/>
        <v>53.79008709090909</v>
      </c>
      <c r="AL40" s="31"/>
      <c r="AM40" s="31"/>
      <c r="AN40" s="103">
        <f t="shared" si="11"/>
        <v>1887193.9499999993</v>
      </c>
      <c r="AO40" s="103">
        <f t="shared" si="12"/>
        <v>114.6236516937516</v>
      </c>
      <c r="AP40" s="31">
        <f t="shared" si="13"/>
        <v>223319.84999999963</v>
      </c>
      <c r="AQ40" s="103">
        <f t="shared" si="35"/>
        <v>101.53284750893683</v>
      </c>
      <c r="AR40" s="12"/>
      <c r="AS40" s="12"/>
      <c r="AT40" s="31"/>
    </row>
    <row r="41" spans="1:47" s="5" customFormat="1" ht="39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91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623288</v>
      </c>
      <c r="W41" s="31"/>
      <c r="X41" s="31"/>
      <c r="Y41" s="31">
        <f t="shared" ref="Y41:Y42" si="78">V41</f>
        <v>623288</v>
      </c>
      <c r="Z41" s="31">
        <v>1400000</v>
      </c>
      <c r="AA41" s="31">
        <v>1400000</v>
      </c>
      <c r="AB41" s="31">
        <v>274348.71999999997</v>
      </c>
      <c r="AC41" s="31">
        <f>28477+2930</f>
        <v>31407</v>
      </c>
      <c r="AD41" s="31">
        <v>29766</v>
      </c>
      <c r="AE41" s="31">
        <v>665004</v>
      </c>
      <c r="AF41" s="31">
        <f t="shared" si="23"/>
        <v>694770</v>
      </c>
      <c r="AG41" s="31">
        <f t="shared" si="9"/>
        <v>-1641</v>
      </c>
      <c r="AH41" s="103">
        <f t="shared" si="4"/>
        <v>-705230</v>
      </c>
      <c r="AI41" s="103">
        <f t="shared" ref="AI41:AI42" si="79">AF41/Z41*100</f>
        <v>49.626428571428569</v>
      </c>
      <c r="AJ41" s="31">
        <f t="shared" si="10"/>
        <v>-705230</v>
      </c>
      <c r="AK41" s="103">
        <f t="shared" si="18"/>
        <v>49.626428571428569</v>
      </c>
      <c r="AL41" s="31"/>
      <c r="AM41" s="31"/>
      <c r="AN41" s="103">
        <f t="shared" si="11"/>
        <v>420421.28</v>
      </c>
      <c r="AO41" s="103">
        <f t="shared" si="12"/>
        <v>253.24339038286746</v>
      </c>
      <c r="AP41" s="31">
        <f t="shared" si="13"/>
        <v>71482</v>
      </c>
      <c r="AQ41" s="103">
        <f t="shared" si="35"/>
        <v>111.46853461000372</v>
      </c>
      <c r="AR41" s="12"/>
      <c r="AS41" s="12"/>
      <c r="AT41" s="31"/>
    </row>
    <row r="42" spans="1:47" s="5" customFormat="1" ht="39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92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8"/>
        <v>0</v>
      </c>
      <c r="Z42" s="31">
        <v>500000</v>
      </c>
      <c r="AA42" s="31">
        <v>200000</v>
      </c>
      <c r="AB42" s="31">
        <v>110000</v>
      </c>
      <c r="AC42" s="31">
        <v>0</v>
      </c>
      <c r="AD42" s="31">
        <v>1500</v>
      </c>
      <c r="AE42" s="31">
        <v>228300</v>
      </c>
      <c r="AF42" s="31">
        <f t="shared" si="23"/>
        <v>229800</v>
      </c>
      <c r="AG42" s="31">
        <f t="shared" si="9"/>
        <v>1500</v>
      </c>
      <c r="AH42" s="103">
        <f t="shared" si="4"/>
        <v>-270200</v>
      </c>
      <c r="AI42" s="103">
        <f t="shared" si="79"/>
        <v>45.96</v>
      </c>
      <c r="AJ42" s="31">
        <f t="shared" si="10"/>
        <v>29800</v>
      </c>
      <c r="AK42" s="103">
        <f t="shared" si="18"/>
        <v>114.9</v>
      </c>
      <c r="AL42" s="31"/>
      <c r="AM42" s="31"/>
      <c r="AN42" s="103">
        <f t="shared" si="11"/>
        <v>119800</v>
      </c>
      <c r="AO42" s="103">
        <f t="shared" si="12"/>
        <v>208.90909090909088</v>
      </c>
      <c r="AP42" s="31">
        <f t="shared" si="13"/>
        <v>229800</v>
      </c>
      <c r="AQ42" s="103">
        <v>0</v>
      </c>
      <c r="AR42" s="12"/>
      <c r="AS42" s="12"/>
      <c r="AT42" s="31"/>
    </row>
    <row r="43" spans="1:47" s="5" customFormat="1" ht="39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96</v>
      </c>
      <c r="J43" s="31"/>
      <c r="K43" s="31"/>
      <c r="L43" s="31"/>
      <c r="M43" s="31"/>
      <c r="N43" s="31"/>
      <c r="O43" s="31">
        <v>0</v>
      </c>
      <c r="P43" s="31">
        <f t="shared" si="76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7"/>
        <v>68665.72</v>
      </c>
      <c r="V43" s="31">
        <v>25948</v>
      </c>
      <c r="W43" s="31"/>
      <c r="X43" s="31"/>
      <c r="Y43" s="31">
        <f>V43</f>
        <v>25948</v>
      </c>
      <c r="Z43" s="31">
        <v>0</v>
      </c>
      <c r="AA43" s="31">
        <v>0</v>
      </c>
      <c r="AB43" s="31">
        <v>0</v>
      </c>
      <c r="AC43" s="31">
        <v>0</v>
      </c>
      <c r="AD43" s="31">
        <v>2550</v>
      </c>
      <c r="AE43" s="31">
        <v>13050</v>
      </c>
      <c r="AF43" s="31">
        <f t="shared" si="23"/>
        <v>15600</v>
      </c>
      <c r="AG43" s="31">
        <f t="shared" si="9"/>
        <v>2550</v>
      </c>
      <c r="AH43" s="103">
        <f t="shared" si="4"/>
        <v>15600</v>
      </c>
      <c r="AI43" s="103">
        <v>0</v>
      </c>
      <c r="AJ43" s="31">
        <f t="shared" si="10"/>
        <v>15600</v>
      </c>
      <c r="AK43" s="103">
        <v>0</v>
      </c>
      <c r="AL43" s="31"/>
      <c r="AM43" s="31"/>
      <c r="AN43" s="103">
        <f t="shared" si="11"/>
        <v>15600</v>
      </c>
      <c r="AO43" s="103">
        <v>0</v>
      </c>
      <c r="AP43" s="31">
        <f t="shared" si="13"/>
        <v>-10348</v>
      </c>
      <c r="AQ43" s="103">
        <f t="shared" si="35"/>
        <v>60.120240480961918</v>
      </c>
      <c r="AR43" s="12"/>
      <c r="AS43" s="12"/>
      <c r="AT43" s="31"/>
    </row>
    <row r="44" spans="1:47" s="5" customFormat="1" ht="28.5" customHeight="1" x14ac:dyDescent="0.3">
      <c r="A44" s="4"/>
      <c r="B44" s="139" t="s">
        <v>12</v>
      </c>
      <c r="C44" s="139"/>
      <c r="D44" s="139"/>
      <c r="E44" s="139"/>
      <c r="F44" s="139"/>
      <c r="G44" s="139"/>
      <c r="H44" s="139"/>
      <c r="I44" s="139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153929.60000000001</v>
      </c>
      <c r="W44" s="13"/>
      <c r="X44" s="13"/>
      <c r="Y44" s="13">
        <f>V44</f>
        <v>153929.60000000001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19293.62</v>
      </c>
      <c r="AF44" s="13">
        <f t="shared" si="23"/>
        <v>19293.62</v>
      </c>
      <c r="AG44" s="13">
        <f t="shared" si="9"/>
        <v>0</v>
      </c>
      <c r="AH44" s="44">
        <f t="shared" si="4"/>
        <v>19293.62</v>
      </c>
      <c r="AI44" s="44">
        <v>0</v>
      </c>
      <c r="AJ44" s="13">
        <f t="shared" si="10"/>
        <v>19293.62</v>
      </c>
      <c r="AK44" s="116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1"/>
        <v>19293.62</v>
      </c>
      <c r="AO44" s="116">
        <v>0</v>
      </c>
      <c r="AP44" s="13">
        <f t="shared" si="13"/>
        <v>-134635.98000000001</v>
      </c>
      <c r="AQ44" s="114">
        <f t="shared" si="35"/>
        <v>12.534054528823566</v>
      </c>
      <c r="AR44" s="12">
        <f t="shared" ref="AR44:AR59" si="80">AF44-M44</f>
        <v>-605153.86</v>
      </c>
      <c r="AS44" s="12">
        <f t="shared" ref="AS44:AS59" si="81">IF(M44=0,0,AF44/M44*100)</f>
        <v>3.0897106030438297</v>
      </c>
      <c r="AT44" s="31">
        <f>AF44</f>
        <v>19293.62</v>
      </c>
    </row>
    <row r="45" spans="1:47" s="10" customFormat="1" ht="60" customHeight="1" x14ac:dyDescent="0.3">
      <c r="A45" s="9"/>
      <c r="B45" s="124" t="s">
        <v>11</v>
      </c>
      <c r="C45" s="124"/>
      <c r="D45" s="124"/>
      <c r="E45" s="124"/>
      <c r="F45" s="124"/>
      <c r="G45" s="124"/>
      <c r="H45" s="124"/>
      <c r="I45" s="124"/>
      <c r="J45" s="12">
        <f t="shared" ref="J45:AF45" si="82">J46+J47</f>
        <v>4290634.29</v>
      </c>
      <c r="K45" s="12">
        <f t="shared" si="82"/>
        <v>4290634.29</v>
      </c>
      <c r="L45" s="12">
        <f t="shared" si="82"/>
        <v>3198289.13</v>
      </c>
      <c r="M45" s="12">
        <f t="shared" si="82"/>
        <v>3198289.13</v>
      </c>
      <c r="N45" s="12">
        <f t="shared" si="82"/>
        <v>3516712.9</v>
      </c>
      <c r="O45" s="12">
        <f t="shared" si="82"/>
        <v>4112775.06</v>
      </c>
      <c r="P45" s="12">
        <f t="shared" si="82"/>
        <v>4112775.06</v>
      </c>
      <c r="Q45" s="12">
        <v>4112775.06</v>
      </c>
      <c r="R45" s="12">
        <f t="shared" si="82"/>
        <v>4112775.06</v>
      </c>
      <c r="S45" s="12">
        <f t="shared" si="82"/>
        <v>1171237.6000000001</v>
      </c>
      <c r="T45" s="12">
        <f t="shared" si="82"/>
        <v>2218931.5799999996</v>
      </c>
      <c r="U45" s="12">
        <f t="shared" si="82"/>
        <v>2218931.5799999996</v>
      </c>
      <c r="V45" s="12">
        <f t="shared" si="82"/>
        <v>441696.33999999997</v>
      </c>
      <c r="W45" s="12"/>
      <c r="X45" s="12">
        <f t="shared" si="82"/>
        <v>0</v>
      </c>
      <c r="Y45" s="12">
        <f t="shared" si="82"/>
        <v>441696.33999999997</v>
      </c>
      <c r="Z45" s="12">
        <f t="shared" si="82"/>
        <v>132000</v>
      </c>
      <c r="AA45" s="12">
        <f t="shared" si="82"/>
        <v>132000</v>
      </c>
      <c r="AB45" s="12">
        <f t="shared" si="82"/>
        <v>132000</v>
      </c>
      <c r="AC45" s="12">
        <f t="shared" si="82"/>
        <v>0</v>
      </c>
      <c r="AD45" s="12">
        <f t="shared" ref="AD45" si="83">AD46+AD47</f>
        <v>0</v>
      </c>
      <c r="AE45" s="12">
        <v>479912.86</v>
      </c>
      <c r="AF45" s="12">
        <f t="shared" si="82"/>
        <v>479912.86</v>
      </c>
      <c r="AG45" s="12">
        <f t="shared" si="9"/>
        <v>0</v>
      </c>
      <c r="AH45" s="44">
        <f t="shared" si="4"/>
        <v>347912.86</v>
      </c>
      <c r="AI45" s="44">
        <f t="shared" ref="AI45:AI58" si="84">AF45/Z45*100</f>
        <v>363.57034848484847</v>
      </c>
      <c r="AJ45" s="12">
        <f t="shared" si="10"/>
        <v>347912.86</v>
      </c>
      <c r="AK45" s="44">
        <f t="shared" si="18"/>
        <v>363.57034848484847</v>
      </c>
      <c r="AL45" s="12" t="e">
        <f>AF45-#REF!</f>
        <v>#REF!</v>
      </c>
      <c r="AM45" s="12" t="e">
        <f>IF(#REF!=0,0,AF45/#REF!*100)</f>
        <v>#REF!</v>
      </c>
      <c r="AN45" s="44">
        <f t="shared" si="11"/>
        <v>347912.86</v>
      </c>
      <c r="AO45" s="114">
        <f t="shared" si="12"/>
        <v>363.57034848484847</v>
      </c>
      <c r="AP45" s="12">
        <f t="shared" si="13"/>
        <v>38216.520000000019</v>
      </c>
      <c r="AQ45" s="44">
        <f t="shared" si="35"/>
        <v>108.65221568283768</v>
      </c>
      <c r="AR45" s="12">
        <f t="shared" si="80"/>
        <v>-2718376.27</v>
      </c>
      <c r="AS45" s="12">
        <f t="shared" si="81"/>
        <v>15.005299411438767</v>
      </c>
      <c r="AT45" s="34">
        <f t="shared" ref="AT45" si="85">AT46+AT47</f>
        <v>479912.86</v>
      </c>
    </row>
    <row r="46" spans="1:47" s="5" customFormat="1" ht="63" customHeight="1" x14ac:dyDescent="0.3">
      <c r="A46" s="4"/>
      <c r="B46" s="139" t="s">
        <v>37</v>
      </c>
      <c r="C46" s="139"/>
      <c r="D46" s="139"/>
      <c r="E46" s="139"/>
      <c r="F46" s="139"/>
      <c r="G46" s="139"/>
      <c r="H46" s="139"/>
      <c r="I46" s="139"/>
      <c r="J46" s="13">
        <v>163530</v>
      </c>
      <c r="K46" s="13">
        <f t="shared" ref="K46:K49" si="86">J46</f>
        <v>163530</v>
      </c>
      <c r="L46" s="13">
        <v>0</v>
      </c>
      <c r="M46" s="13">
        <f t="shared" ref="M46:M49" si="87">L46</f>
        <v>0</v>
      </c>
      <c r="N46" s="13">
        <v>762433</v>
      </c>
      <c r="O46" s="13">
        <v>763713</v>
      </c>
      <c r="P46" s="13">
        <f t="shared" ref="P46:P49" si="88">O46</f>
        <v>763713</v>
      </c>
      <c r="Q46" s="13">
        <v>763713</v>
      </c>
      <c r="R46" s="13">
        <f t="shared" ref="R46:R48" si="89">Q46</f>
        <v>763713</v>
      </c>
      <c r="S46" s="13">
        <v>5228.8</v>
      </c>
      <c r="T46" s="13">
        <v>5228.8</v>
      </c>
      <c r="U46" s="13">
        <f t="shared" ref="U46:U49" si="90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3"/>
        <v>0</v>
      </c>
      <c r="AG46" s="13">
        <f t="shared" si="9"/>
        <v>0</v>
      </c>
      <c r="AH46" s="44">
        <f t="shared" si="4"/>
        <v>-132000</v>
      </c>
      <c r="AI46" s="44">
        <f t="shared" si="84"/>
        <v>0</v>
      </c>
      <c r="AJ46" s="13">
        <f t="shared" si="10"/>
        <v>0</v>
      </c>
      <c r="AK46" s="116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1"/>
        <v>0</v>
      </c>
      <c r="AO46" s="116">
        <v>0</v>
      </c>
      <c r="AP46" s="13">
        <f t="shared" si="13"/>
        <v>-5228.8</v>
      </c>
      <c r="AQ46" s="42">
        <f t="shared" si="35"/>
        <v>0</v>
      </c>
      <c r="AR46" s="12">
        <f t="shared" si="80"/>
        <v>0</v>
      </c>
      <c r="AS46" s="12">
        <f t="shared" si="81"/>
        <v>0</v>
      </c>
      <c r="AT46" s="31">
        <f>AF46</f>
        <v>0</v>
      </c>
    </row>
    <row r="47" spans="1:47" s="5" customFormat="1" ht="65.25" customHeight="1" x14ac:dyDescent="0.3">
      <c r="A47" s="4"/>
      <c r="B47" s="139" t="s">
        <v>10</v>
      </c>
      <c r="C47" s="139"/>
      <c r="D47" s="139"/>
      <c r="E47" s="139"/>
      <c r="F47" s="139"/>
      <c r="G47" s="139"/>
      <c r="H47" s="139"/>
      <c r="I47" s="139"/>
      <c r="J47" s="13">
        <v>4127104.29</v>
      </c>
      <c r="K47" s="13">
        <f t="shared" si="86"/>
        <v>4127104.29</v>
      </c>
      <c r="L47" s="13">
        <v>3198289.13</v>
      </c>
      <c r="M47" s="13">
        <f t="shared" si="87"/>
        <v>3198289.13</v>
      </c>
      <c r="N47" s="13">
        <v>2754279.9</v>
      </c>
      <c r="O47" s="13">
        <v>3349062.06</v>
      </c>
      <c r="P47" s="13">
        <f t="shared" si="88"/>
        <v>3349062.06</v>
      </c>
      <c r="Q47" s="13">
        <v>3349062.06</v>
      </c>
      <c r="R47" s="13">
        <f t="shared" si="89"/>
        <v>3349062.06</v>
      </c>
      <c r="S47" s="13">
        <v>1166008.8</v>
      </c>
      <c r="T47" s="13">
        <v>2213702.7799999998</v>
      </c>
      <c r="U47" s="13">
        <f t="shared" si="90"/>
        <v>2213702.7799999998</v>
      </c>
      <c r="V47" s="13">
        <v>436467.54</v>
      </c>
      <c r="W47" s="13"/>
      <c r="X47" s="13"/>
      <c r="Y47" s="13">
        <f>V47</f>
        <v>436467.54</v>
      </c>
      <c r="Z47" s="13">
        <v>0</v>
      </c>
      <c r="AA47" s="13">
        <v>132000</v>
      </c>
      <c r="AB47" s="13">
        <v>132000</v>
      </c>
      <c r="AC47" s="13">
        <v>0</v>
      </c>
      <c r="AD47" s="13">
        <v>0</v>
      </c>
      <c r="AE47" s="13">
        <v>479912.86</v>
      </c>
      <c r="AF47" s="13">
        <f t="shared" si="23"/>
        <v>479912.86</v>
      </c>
      <c r="AG47" s="13">
        <f t="shared" si="9"/>
        <v>0</v>
      </c>
      <c r="AH47" s="44">
        <f t="shared" si="4"/>
        <v>479912.86</v>
      </c>
      <c r="AI47" s="44">
        <v>0</v>
      </c>
      <c r="AJ47" s="13">
        <f t="shared" si="10"/>
        <v>347912.86</v>
      </c>
      <c r="AK47" s="42">
        <f>AF47/AA47%</f>
        <v>363.57034848484847</v>
      </c>
      <c r="AL47" s="13" t="e">
        <f>AF47-#REF!</f>
        <v>#REF!</v>
      </c>
      <c r="AM47" s="13" t="e">
        <f>IF(#REF!=0,0,AF47/#REF!*100)</f>
        <v>#REF!</v>
      </c>
      <c r="AN47" s="42">
        <f t="shared" si="11"/>
        <v>347912.86</v>
      </c>
      <c r="AO47" s="42">
        <f t="shared" si="12"/>
        <v>363.57034848484847</v>
      </c>
      <c r="AP47" s="13">
        <f t="shared" si="13"/>
        <v>43445.320000000007</v>
      </c>
      <c r="AQ47" s="42">
        <f t="shared" si="35"/>
        <v>109.95384903078931</v>
      </c>
      <c r="AR47" s="12">
        <f t="shared" si="80"/>
        <v>-2718376.27</v>
      </c>
      <c r="AS47" s="12">
        <f t="shared" si="81"/>
        <v>15.005299411438767</v>
      </c>
      <c r="AT47" s="31">
        <f>AF47</f>
        <v>479912.86</v>
      </c>
      <c r="AU47" s="86"/>
    </row>
    <row r="48" spans="1:47" s="10" customFormat="1" ht="39.75" customHeight="1" x14ac:dyDescent="0.3">
      <c r="A48" s="9"/>
      <c r="B48" s="124" t="s">
        <v>9</v>
      </c>
      <c r="C48" s="124"/>
      <c r="D48" s="124"/>
      <c r="E48" s="124"/>
      <c r="F48" s="124"/>
      <c r="G48" s="124"/>
      <c r="H48" s="124"/>
      <c r="I48" s="124"/>
      <c r="J48" s="12">
        <v>2338187.02</v>
      </c>
      <c r="K48" s="12">
        <f t="shared" si="86"/>
        <v>2338187.02</v>
      </c>
      <c r="L48" s="12">
        <v>974257.27</v>
      </c>
      <c r="M48" s="12">
        <f t="shared" si="87"/>
        <v>974257.27</v>
      </c>
      <c r="N48" s="12">
        <v>2799320.03</v>
      </c>
      <c r="O48" s="12">
        <v>3055345.14</v>
      </c>
      <c r="P48" s="12">
        <f t="shared" si="88"/>
        <v>3055345.14</v>
      </c>
      <c r="Q48" s="12">
        <v>3055345.14</v>
      </c>
      <c r="R48" s="12">
        <f t="shared" si="89"/>
        <v>3055345.14</v>
      </c>
      <c r="S48" s="12">
        <v>2239812</v>
      </c>
      <c r="T48" s="12">
        <v>2273274.8299999996</v>
      </c>
      <c r="U48" s="12">
        <f t="shared" si="90"/>
        <v>2273274.8299999996</v>
      </c>
      <c r="V48" s="12">
        <v>569670.98</v>
      </c>
      <c r="W48" s="12"/>
      <c r="X48" s="12"/>
      <c r="Y48" s="12">
        <f>V48</f>
        <v>569670.98</v>
      </c>
      <c r="Z48" s="12">
        <v>1249470</v>
      </c>
      <c r="AA48" s="12">
        <v>1147080</v>
      </c>
      <c r="AB48" s="12">
        <v>438046.23</v>
      </c>
      <c r="AC48" s="12">
        <f>16969.27+500+150+550+1000+2000+25000</f>
        <v>46169.270000000004</v>
      </c>
      <c r="AD48" s="12">
        <v>66098.39</v>
      </c>
      <c r="AE48" s="12">
        <v>459019.26</v>
      </c>
      <c r="AF48" s="12">
        <f t="shared" si="23"/>
        <v>525117.65</v>
      </c>
      <c r="AG48" s="12">
        <f t="shared" si="9"/>
        <v>19929.119999999995</v>
      </c>
      <c r="AH48" s="44">
        <f t="shared" si="4"/>
        <v>-724352.35</v>
      </c>
      <c r="AI48" s="44">
        <f t="shared" si="84"/>
        <v>42.027231546175578</v>
      </c>
      <c r="AJ48" s="12">
        <f t="shared" si="10"/>
        <v>-621962.35</v>
      </c>
      <c r="AK48" s="44">
        <f t="shared" si="18"/>
        <v>45.778642291732055</v>
      </c>
      <c r="AL48" s="12" t="e">
        <f>AF48-#REF!</f>
        <v>#REF!</v>
      </c>
      <c r="AM48" s="12" t="e">
        <f>IF(#REF!=0,0,AF48/#REF!*100)</f>
        <v>#REF!</v>
      </c>
      <c r="AN48" s="44">
        <f t="shared" si="11"/>
        <v>87071.420000000042</v>
      </c>
      <c r="AO48" s="44">
        <f t="shared" si="12"/>
        <v>119.87722163480325</v>
      </c>
      <c r="AP48" s="12">
        <f t="shared" si="13"/>
        <v>-44553.329999999958</v>
      </c>
      <c r="AQ48" s="44">
        <f t="shared" si="35"/>
        <v>92.1791118796327</v>
      </c>
      <c r="AR48" s="12">
        <f t="shared" si="80"/>
        <v>-449139.62</v>
      </c>
      <c r="AS48" s="12">
        <f t="shared" si="81"/>
        <v>53.899279601988503</v>
      </c>
      <c r="AT48" s="34">
        <f>AF48</f>
        <v>525117.65</v>
      </c>
    </row>
    <row r="49" spans="1:48" s="22" customFormat="1" ht="30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106</v>
      </c>
      <c r="J49" s="16">
        <v>256536.06</v>
      </c>
      <c r="K49" s="16">
        <f t="shared" si="86"/>
        <v>256536.06</v>
      </c>
      <c r="L49" s="16">
        <v>109317.03</v>
      </c>
      <c r="M49" s="16">
        <f t="shared" si="87"/>
        <v>109317.03</v>
      </c>
      <c r="N49" s="16">
        <v>210726.7</v>
      </c>
      <c r="O49" s="25">
        <f>221100.64+0.02+606.42</f>
        <v>221707.08000000002</v>
      </c>
      <c r="P49" s="16">
        <f t="shared" si="88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90"/>
        <v>278352.34000000003</v>
      </c>
      <c r="V49" s="25">
        <v>80426.649999999994</v>
      </c>
      <c r="W49" s="25"/>
      <c r="X49" s="25"/>
      <c r="Y49" s="16">
        <f>V49</f>
        <v>80426.649999999994</v>
      </c>
      <c r="Z49" s="25">
        <v>336190</v>
      </c>
      <c r="AA49" s="25">
        <v>159900</v>
      </c>
      <c r="AB49" s="25">
        <v>61237</v>
      </c>
      <c r="AC49" s="25">
        <f>1001+2000</f>
        <v>3001</v>
      </c>
      <c r="AD49" s="25">
        <v>4598.01</v>
      </c>
      <c r="AE49" s="25">
        <v>63722.200000000004</v>
      </c>
      <c r="AF49" s="25">
        <f>AE49+AD49</f>
        <v>68320.210000000006</v>
      </c>
      <c r="AG49" s="16">
        <f t="shared" si="9"/>
        <v>1597.0100000000002</v>
      </c>
      <c r="AH49" s="44">
        <f t="shared" si="4"/>
        <v>-267869.78999999998</v>
      </c>
      <c r="AI49" s="44">
        <f t="shared" si="84"/>
        <v>20.321904280317678</v>
      </c>
      <c r="AJ49" s="12">
        <f t="shared" si="10"/>
        <v>-91579.79</v>
      </c>
      <c r="AK49" s="42">
        <f t="shared" si="18"/>
        <v>42.726835522201377</v>
      </c>
      <c r="AL49" s="13" t="e">
        <f>AF49-#REF!</f>
        <v>#REF!</v>
      </c>
      <c r="AM49" s="13" t="e">
        <f>IF(#REF!=0,0,AF49/#REF!*100)</f>
        <v>#REF!</v>
      </c>
      <c r="AN49" s="42">
        <f t="shared" si="11"/>
        <v>7083.2100000000064</v>
      </c>
      <c r="AO49" s="42">
        <f t="shared" si="12"/>
        <v>111.56687950095532</v>
      </c>
      <c r="AP49" s="13">
        <f t="shared" si="13"/>
        <v>-12106.439999999988</v>
      </c>
      <c r="AQ49" s="42">
        <f t="shared" si="35"/>
        <v>84.947228313003222</v>
      </c>
      <c r="AR49" s="12">
        <f t="shared" si="80"/>
        <v>-40996.819999999992</v>
      </c>
      <c r="AS49" s="12">
        <f t="shared" si="81"/>
        <v>62.497316291889746</v>
      </c>
      <c r="AT49" s="31">
        <f>AF49</f>
        <v>68320.210000000006</v>
      </c>
      <c r="AV49" s="25"/>
    </row>
    <row r="50" spans="1:48" s="10" customFormat="1" ht="36.75" customHeight="1" x14ac:dyDescent="0.3">
      <c r="A50" s="9"/>
      <c r="B50" s="124" t="s">
        <v>7</v>
      </c>
      <c r="C50" s="124"/>
      <c r="D50" s="124"/>
      <c r="E50" s="124"/>
      <c r="F50" s="124"/>
      <c r="G50" s="124"/>
      <c r="H50" s="124"/>
      <c r="I50" s="124"/>
      <c r="J50" s="12">
        <f t="shared" ref="J50:P50" si="91">J51+J53</f>
        <v>1294662.3799999999</v>
      </c>
      <c r="K50" s="12">
        <f t="shared" si="91"/>
        <v>4769167.24</v>
      </c>
      <c r="L50" s="12">
        <f t="shared" si="91"/>
        <v>389278.05</v>
      </c>
      <c r="M50" s="12">
        <f t="shared" si="91"/>
        <v>3324878.5</v>
      </c>
      <c r="N50" s="12">
        <f t="shared" si="91"/>
        <v>2895802</v>
      </c>
      <c r="O50" s="12">
        <f t="shared" si="91"/>
        <v>4075696.4</v>
      </c>
      <c r="P50" s="12">
        <f t="shared" si="91"/>
        <v>4075696.4</v>
      </c>
      <c r="Q50" s="12">
        <v>4075696.4</v>
      </c>
      <c r="R50" s="12">
        <f t="shared" ref="R50" si="92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3">U51+U52+U53</f>
        <v>5495063.3199999994</v>
      </c>
      <c r="V50" s="12">
        <f t="shared" si="93"/>
        <v>4202959.32</v>
      </c>
      <c r="W50" s="12">
        <f t="shared" si="93"/>
        <v>0</v>
      </c>
      <c r="X50" s="12">
        <f t="shared" si="93"/>
        <v>0</v>
      </c>
      <c r="Y50" s="12">
        <f t="shared" si="93"/>
        <v>4202959.32</v>
      </c>
      <c r="Z50" s="12">
        <f t="shared" ref="Z50:AB50" si="94">Z51+Z53</f>
        <v>2715689.65</v>
      </c>
      <c r="AA50" s="12">
        <f t="shared" si="94"/>
        <v>3474504.86</v>
      </c>
      <c r="AB50" s="12">
        <f t="shared" si="94"/>
        <v>3474504.86</v>
      </c>
      <c r="AC50" s="12">
        <f>AC51+AC52+AC53</f>
        <v>180886.72</v>
      </c>
      <c r="AD50" s="12">
        <f>AD51+AD52+AD53</f>
        <v>13163.8</v>
      </c>
      <c r="AE50" s="12">
        <v>3012351.65</v>
      </c>
      <c r="AF50" s="12">
        <f>AF51+AF52+AF53</f>
        <v>3025515.45</v>
      </c>
      <c r="AG50" s="12">
        <f t="shared" si="9"/>
        <v>-167722.92000000001</v>
      </c>
      <c r="AH50" s="44">
        <f t="shared" si="4"/>
        <v>309825.80000000028</v>
      </c>
      <c r="AI50" s="44">
        <f t="shared" si="84"/>
        <v>111.40873368943318</v>
      </c>
      <c r="AJ50" s="12">
        <f t="shared" si="10"/>
        <v>-448989.40999999968</v>
      </c>
      <c r="AK50" s="44">
        <f t="shared" si="18"/>
        <v>87.07760017351076</v>
      </c>
      <c r="AL50" s="12" t="e">
        <f>AF50-#REF!</f>
        <v>#REF!</v>
      </c>
      <c r="AM50" s="12" t="e">
        <f>IF(#REF!=0,0,AF50/#REF!*100)</f>
        <v>#REF!</v>
      </c>
      <c r="AN50" s="44">
        <f t="shared" si="11"/>
        <v>-448989.40999999968</v>
      </c>
      <c r="AO50" s="44">
        <f t="shared" si="12"/>
        <v>87.077600173510774</v>
      </c>
      <c r="AP50" s="12">
        <f t="shared" si="13"/>
        <v>-1177443.8700000001</v>
      </c>
      <c r="AQ50" s="44">
        <f t="shared" si="35"/>
        <v>71.985361257315233</v>
      </c>
      <c r="AR50" s="12">
        <f t="shared" si="80"/>
        <v>-299363.04999999981</v>
      </c>
      <c r="AS50" s="12">
        <f t="shared" si="81"/>
        <v>90.996270991556543</v>
      </c>
      <c r="AT50" s="34">
        <f t="shared" ref="AT50" si="95">AT51+AT53</f>
        <v>4356842</v>
      </c>
    </row>
    <row r="51" spans="1:48" s="5" customFormat="1" ht="23.25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77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-14326.03</v>
      </c>
      <c r="W51" s="13"/>
      <c r="X51" s="13"/>
      <c r="Y51" s="13">
        <f>V51</f>
        <v>-14326.03</v>
      </c>
      <c r="Z51" s="13">
        <v>0</v>
      </c>
      <c r="AA51" s="13">
        <v>0</v>
      </c>
      <c r="AB51" s="13">
        <v>0</v>
      </c>
      <c r="AC51" s="113">
        <f>3126.2-17101.32</f>
        <v>-13975.119999999999</v>
      </c>
      <c r="AD51" s="113">
        <v>-1836.2</v>
      </c>
      <c r="AE51" s="13">
        <v>3126.1999999998334</v>
      </c>
      <c r="AF51" s="13">
        <f t="shared" si="23"/>
        <v>1289.9999999998333</v>
      </c>
      <c r="AG51" s="16">
        <f t="shared" si="9"/>
        <v>12138.919999999998</v>
      </c>
      <c r="AH51" s="44">
        <f t="shared" si="4"/>
        <v>1289.9999999998333</v>
      </c>
      <c r="AI51" s="44">
        <v>0</v>
      </c>
      <c r="AJ51" s="13">
        <f t="shared" si="10"/>
        <v>1289.9999999998333</v>
      </c>
      <c r="AK51" s="116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1"/>
        <v>1289.9999999998333</v>
      </c>
      <c r="AO51" s="116">
        <v>0</v>
      </c>
      <c r="AP51" s="13">
        <f t="shared" si="13"/>
        <v>15616.029999999833</v>
      </c>
      <c r="AQ51" s="42">
        <f t="shared" si="35"/>
        <v>-9.0045881517757067</v>
      </c>
      <c r="AR51" s="12">
        <f t="shared" si="80"/>
        <v>-387988.05000000016</v>
      </c>
      <c r="AS51" s="12">
        <f t="shared" si="81"/>
        <v>0.33138267107529784</v>
      </c>
      <c r="AT51" s="31">
        <f>AF51</f>
        <v>1289.9999999998333</v>
      </c>
    </row>
    <row r="52" spans="1:48" s="5" customFormat="1" ht="39.75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78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6">T52</f>
        <v>155286.9</v>
      </c>
      <c r="V52" s="13">
        <v>84086.9</v>
      </c>
      <c r="W52" s="13"/>
      <c r="X52" s="13"/>
      <c r="Y52" s="13">
        <f t="shared" ref="Y52:Y53" si="97">V52</f>
        <v>84086.9</v>
      </c>
      <c r="Z52" s="13"/>
      <c r="AA52" s="13">
        <v>0</v>
      </c>
      <c r="AB52" s="13">
        <v>0</v>
      </c>
      <c r="AC52" s="113">
        <f>550</f>
        <v>550</v>
      </c>
      <c r="AD52" s="113">
        <v>0</v>
      </c>
      <c r="AE52" s="13">
        <v>88625</v>
      </c>
      <c r="AF52" s="13">
        <f t="shared" si="23"/>
        <v>88625</v>
      </c>
      <c r="AG52" s="16">
        <f t="shared" si="9"/>
        <v>-550</v>
      </c>
      <c r="AH52" s="44"/>
      <c r="AI52" s="44"/>
      <c r="AJ52" s="13">
        <f t="shared" si="10"/>
        <v>88625</v>
      </c>
      <c r="AK52" s="116">
        <v>0</v>
      </c>
      <c r="AL52" s="13"/>
      <c r="AM52" s="13"/>
      <c r="AN52" s="42">
        <f t="shared" si="11"/>
        <v>88625</v>
      </c>
      <c r="AO52" s="116">
        <v>0</v>
      </c>
      <c r="AP52" s="13">
        <f t="shared" si="13"/>
        <v>4538.1000000000058</v>
      </c>
      <c r="AQ52" s="44">
        <f t="shared" si="35"/>
        <v>105.39691676111262</v>
      </c>
      <c r="AR52" s="12"/>
      <c r="AS52" s="12"/>
      <c r="AT52" s="31"/>
    </row>
    <row r="53" spans="1:48" s="5" customFormat="1" ht="28.5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46</v>
      </c>
      <c r="J53" s="13">
        <v>0</v>
      </c>
      <c r="K53" s="24">
        <f>AA53</f>
        <v>3474504.86</v>
      </c>
      <c r="L53" s="13">
        <v>0</v>
      </c>
      <c r="M53" s="37">
        <f>AF53</f>
        <v>2935600.45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6"/>
        <v>5381046.0499999998</v>
      </c>
      <c r="V53" s="13">
        <v>4133198.45</v>
      </c>
      <c r="W53" s="13"/>
      <c r="X53" s="13"/>
      <c r="Y53" s="13">
        <f t="shared" si="97"/>
        <v>4133198.45</v>
      </c>
      <c r="Z53" s="13">
        <v>2715689.65</v>
      </c>
      <c r="AA53" s="13">
        <v>3474504.86</v>
      </c>
      <c r="AB53" s="13">
        <v>3474504.86</v>
      </c>
      <c r="AC53" s="13">
        <f>194311.84</f>
        <v>194311.84</v>
      </c>
      <c r="AD53" s="13">
        <v>15000</v>
      </c>
      <c r="AE53" s="13">
        <v>2920600.45</v>
      </c>
      <c r="AF53" s="13">
        <f t="shared" si="23"/>
        <v>2935600.45</v>
      </c>
      <c r="AG53" s="16">
        <f t="shared" si="9"/>
        <v>-179311.84</v>
      </c>
      <c r="AH53" s="44">
        <f t="shared" si="4"/>
        <v>219910.80000000028</v>
      </c>
      <c r="AI53" s="44">
        <f t="shared" si="84"/>
        <v>108.09778834632301</v>
      </c>
      <c r="AJ53" s="13">
        <f t="shared" si="10"/>
        <v>-538904.40999999968</v>
      </c>
      <c r="AK53" s="42">
        <f t="shared" si="18"/>
        <v>84.489749425764217</v>
      </c>
      <c r="AL53" s="13" t="e">
        <f>AF53-#REF!</f>
        <v>#REF!</v>
      </c>
      <c r="AM53" s="13" t="e">
        <f>IF(#REF!=0,0,AF53/#REF!*100)</f>
        <v>#REF!</v>
      </c>
      <c r="AN53" s="42">
        <f t="shared" si="11"/>
        <v>-538904.40999999968</v>
      </c>
      <c r="AO53" s="42">
        <f t="shared" si="12"/>
        <v>84.489749425764231</v>
      </c>
      <c r="AP53" s="13">
        <f t="shared" si="13"/>
        <v>-1197598</v>
      </c>
      <c r="AQ53" s="42">
        <f t="shared" si="35"/>
        <v>71.024909292705274</v>
      </c>
      <c r="AR53" s="12">
        <f t="shared" si="80"/>
        <v>0</v>
      </c>
      <c r="AS53" s="12">
        <f t="shared" si="81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4" t="s">
        <v>1</v>
      </c>
      <c r="C54" s="124"/>
      <c r="D54" s="124"/>
      <c r="E54" s="124"/>
      <c r="F54" s="124"/>
      <c r="G54" s="124"/>
      <c r="H54" s="124"/>
      <c r="I54" s="124"/>
      <c r="J54" s="12">
        <f t="shared" ref="J54:R54" si="98">J55+J56+J57+J58+J59+J61+J62</f>
        <v>1731743649.9200001</v>
      </c>
      <c r="K54" s="12">
        <f t="shared" si="98"/>
        <v>1726065816.5200002</v>
      </c>
      <c r="L54" s="26">
        <f t="shared" si="98"/>
        <v>754564037.68999994</v>
      </c>
      <c r="M54" s="26">
        <f t="shared" si="98"/>
        <v>750829669.28999996</v>
      </c>
      <c r="N54" s="12">
        <f t="shared" si="98"/>
        <v>1949401304.4499998</v>
      </c>
      <c r="O54" s="12">
        <f t="shared" si="98"/>
        <v>1942881158.9100001</v>
      </c>
      <c r="P54" s="12">
        <f t="shared" si="98"/>
        <v>1942881158.9100001</v>
      </c>
      <c r="Q54" s="12">
        <v>1942881158.9100001</v>
      </c>
      <c r="R54" s="12">
        <f t="shared" si="98"/>
        <v>1942881158.9100001</v>
      </c>
      <c r="S54" s="12">
        <f t="shared" ref="S54:AB54" si="99">S55+S56+S57+S58+S59+S60+S61+S62</f>
        <v>2058217674.4300001</v>
      </c>
      <c r="T54" s="12">
        <f t="shared" si="99"/>
        <v>2039899297.8500004</v>
      </c>
      <c r="U54" s="12">
        <f t="shared" si="99"/>
        <v>2039899297.8500004</v>
      </c>
      <c r="V54" s="12">
        <f t="shared" si="99"/>
        <v>770819354.11999989</v>
      </c>
      <c r="W54" s="12">
        <f t="shared" si="99"/>
        <v>0</v>
      </c>
      <c r="X54" s="12">
        <f t="shared" si="99"/>
        <v>0</v>
      </c>
      <c r="Y54" s="12">
        <f t="shared" si="99"/>
        <v>770819354.11999989</v>
      </c>
      <c r="Z54" s="12">
        <f t="shared" si="99"/>
        <v>1741578685.6100001</v>
      </c>
      <c r="AA54" s="12">
        <f t="shared" si="99"/>
        <v>1749602512.1399999</v>
      </c>
      <c r="AB54" s="12">
        <f t="shared" si="99"/>
        <v>716194319.23000002</v>
      </c>
      <c r="AC54" s="12">
        <f>AC55+AC56+AC57+AC58+AC59+AC60+AC61+AC62</f>
        <v>47907292.460000001</v>
      </c>
      <c r="AD54" s="12">
        <f>AD55+AD56+AD57+AD58+AD59+AD60+AD61+AD62</f>
        <v>46615678.899999999</v>
      </c>
      <c r="AE54" s="12">
        <f>AE55+AE56+AE57+AE58+AE59+AE60+AE61+AE62</f>
        <v>548815648.83000016</v>
      </c>
      <c r="AF54" s="12">
        <f>AF55+AF56+AF57+AF58+AF59+AF60+AF61+AF62</f>
        <v>595431327.73000014</v>
      </c>
      <c r="AG54" s="12">
        <f t="shared" si="9"/>
        <v>-1291613.5600000024</v>
      </c>
      <c r="AH54" s="44">
        <f t="shared" si="4"/>
        <v>-1146147357.8800001</v>
      </c>
      <c r="AI54" s="44">
        <f t="shared" si="84"/>
        <v>34.189171735381343</v>
      </c>
      <c r="AJ54" s="12">
        <f t="shared" si="10"/>
        <v>-1154171184.4099998</v>
      </c>
      <c r="AK54" s="44">
        <f t="shared" si="18"/>
        <v>34.032377274179112</v>
      </c>
      <c r="AL54" s="12" t="e">
        <f>AF54-#REF!</f>
        <v>#REF!</v>
      </c>
      <c r="AM54" s="12" t="e">
        <f>IF(#REF!=0,0,AF54/#REF!*100)</f>
        <v>#REF!</v>
      </c>
      <c r="AN54" s="44">
        <f t="shared" si="11"/>
        <v>-120762991.49999988</v>
      </c>
      <c r="AO54" s="44">
        <f t="shared" si="12"/>
        <v>83.138236612957854</v>
      </c>
      <c r="AP54" s="12">
        <f t="shared" si="13"/>
        <v>-175388026.38999975</v>
      </c>
      <c r="AQ54" s="44">
        <f t="shared" si="35"/>
        <v>77.246546100255856</v>
      </c>
      <c r="AR54" s="12">
        <f t="shared" si="80"/>
        <v>-155398341.55999982</v>
      </c>
      <c r="AS54" s="12">
        <f t="shared" si="81"/>
        <v>79.303116550129445</v>
      </c>
      <c r="AT54" s="34" t="e">
        <f t="shared" ref="AT54" si="100">AT55+AT56+AT57+AT58+AT59+AT61+AT62</f>
        <v>#REF!</v>
      </c>
    </row>
    <row r="55" spans="1:48" s="10" customFormat="1" ht="38.25" customHeight="1" x14ac:dyDescent="0.3">
      <c r="A55" s="9"/>
      <c r="B55" s="124" t="s">
        <v>6</v>
      </c>
      <c r="C55" s="124"/>
      <c r="D55" s="124"/>
      <c r="E55" s="124"/>
      <c r="F55" s="124"/>
      <c r="G55" s="124"/>
      <c r="H55" s="124"/>
      <c r="I55" s="124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1">O55</f>
        <v>436509000</v>
      </c>
      <c r="Q55" s="12">
        <v>436509000</v>
      </c>
      <c r="R55" s="12">
        <f t="shared" ref="R55:R62" si="102">Q55</f>
        <v>436509000</v>
      </c>
      <c r="S55" s="12">
        <v>543552380</v>
      </c>
      <c r="T55" s="12">
        <v>543552380</v>
      </c>
      <c r="U55" s="12">
        <f t="shared" ref="U55:U62" si="103">T55</f>
        <v>543552380</v>
      </c>
      <c r="V55" s="12">
        <v>276367500</v>
      </c>
      <c r="W55" s="12"/>
      <c r="X55" s="12"/>
      <c r="Y55" s="12">
        <f t="shared" ref="Y55:Y62" si="104">V55</f>
        <v>276367500</v>
      </c>
      <c r="Z55" s="12">
        <v>543282000</v>
      </c>
      <c r="AA55" s="12">
        <v>504630000</v>
      </c>
      <c r="AB55" s="34">
        <v>210262500</v>
      </c>
      <c r="AC55" s="12">
        <v>25457332</v>
      </c>
      <c r="AD55" s="12">
        <v>16595168</v>
      </c>
      <c r="AE55" s="12">
        <v>193667332</v>
      </c>
      <c r="AF55" s="12">
        <f t="shared" si="23"/>
        <v>210262500</v>
      </c>
      <c r="AG55" s="12">
        <f t="shared" si="9"/>
        <v>-8862164</v>
      </c>
      <c r="AH55" s="44">
        <f t="shared" si="4"/>
        <v>-333019500</v>
      </c>
      <c r="AI55" s="44">
        <f t="shared" si="84"/>
        <v>38.70227616596906</v>
      </c>
      <c r="AJ55" s="12">
        <f t="shared" si="10"/>
        <v>-294367500</v>
      </c>
      <c r="AK55" s="44">
        <f t="shared" si="18"/>
        <v>41.666666666666664</v>
      </c>
      <c r="AL55" s="12" t="e">
        <f>AF55-#REF!</f>
        <v>#REF!</v>
      </c>
      <c r="AM55" s="12" t="e">
        <f>IF(#REF!=0,0,AF55/#REF!*100)</f>
        <v>#REF!</v>
      </c>
      <c r="AN55" s="44">
        <f t="shared" si="11"/>
        <v>0</v>
      </c>
      <c r="AO55" s="44">
        <f t="shared" si="12"/>
        <v>100</v>
      </c>
      <c r="AP55" s="12">
        <f t="shared" si="13"/>
        <v>-66105000</v>
      </c>
      <c r="AQ55" s="44">
        <f t="shared" si="35"/>
        <v>76.080762028820317</v>
      </c>
      <c r="AR55" s="12">
        <f t="shared" si="80"/>
        <v>8773500</v>
      </c>
      <c r="AS55" s="12">
        <f t="shared" si="81"/>
        <v>104.35433199827287</v>
      </c>
      <c r="AT55" s="34">
        <v>436509000</v>
      </c>
    </row>
    <row r="56" spans="1:48" s="10" customFormat="1" ht="43.5" customHeight="1" x14ac:dyDescent="0.3">
      <c r="A56" s="9"/>
      <c r="B56" s="124" t="s">
        <v>5</v>
      </c>
      <c r="C56" s="124"/>
      <c r="D56" s="124"/>
      <c r="E56" s="124"/>
      <c r="F56" s="124"/>
      <c r="G56" s="124"/>
      <c r="H56" s="124"/>
      <c r="I56" s="124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1"/>
        <v>266680542.02000001</v>
      </c>
      <c r="Q56" s="12">
        <v>266680542.02000001</v>
      </c>
      <c r="R56" s="12">
        <f t="shared" si="102"/>
        <v>266680542.02000001</v>
      </c>
      <c r="S56" s="12">
        <v>448087921.25</v>
      </c>
      <c r="T56" s="12">
        <v>432403468.83000004</v>
      </c>
      <c r="U56" s="12">
        <f t="shared" si="103"/>
        <v>432403468.83000004</v>
      </c>
      <c r="V56" s="12">
        <v>40146699.060000002</v>
      </c>
      <c r="W56" s="12"/>
      <c r="X56" s="12"/>
      <c r="Y56" s="12">
        <f t="shared" si="104"/>
        <v>40146699.060000002</v>
      </c>
      <c r="Z56" s="12">
        <v>164450526.09999999</v>
      </c>
      <c r="AA56" s="12">
        <v>339768105.60000002</v>
      </c>
      <c r="AB56" s="12">
        <v>67088934.280000001</v>
      </c>
      <c r="AC56" s="12">
        <v>1048587.83</v>
      </c>
      <c r="AD56" s="12">
        <v>5988423.5800000001</v>
      </c>
      <c r="AE56" s="12">
        <v>39833693.039999999</v>
      </c>
      <c r="AF56" s="12">
        <f t="shared" si="23"/>
        <v>45822116.619999997</v>
      </c>
      <c r="AG56" s="12">
        <f t="shared" si="9"/>
        <v>4939835.75</v>
      </c>
      <c r="AH56" s="44">
        <f t="shared" si="4"/>
        <v>-118628409.47999999</v>
      </c>
      <c r="AI56" s="44">
        <f t="shared" si="84"/>
        <v>27.863770160355845</v>
      </c>
      <c r="AJ56" s="12">
        <f t="shared" si="10"/>
        <v>-293945988.98000002</v>
      </c>
      <c r="AK56" s="44">
        <f t="shared" si="18"/>
        <v>13.486291345411084</v>
      </c>
      <c r="AL56" s="12" t="e">
        <f>AF56-#REF!</f>
        <v>#REF!</v>
      </c>
      <c r="AM56" s="12" t="e">
        <f>IF(#REF!=0,0,AF56/#REF!*100)</f>
        <v>#REF!</v>
      </c>
      <c r="AN56" s="44">
        <f t="shared" si="11"/>
        <v>-21266817.660000004</v>
      </c>
      <c r="AO56" s="44">
        <f t="shared" si="12"/>
        <v>68.300558224339099</v>
      </c>
      <c r="AP56" s="12">
        <f t="shared" si="13"/>
        <v>5675417.5599999949</v>
      </c>
      <c r="AQ56" s="44">
        <f t="shared" si="35"/>
        <v>114.13669789269095</v>
      </c>
      <c r="AR56" s="12">
        <f t="shared" si="80"/>
        <v>-22430067.479999997</v>
      </c>
      <c r="AS56" s="12">
        <f t="shared" si="81"/>
        <v>67.136483944401718</v>
      </c>
      <c r="AT56" s="34" t="e">
        <f>#REF!</f>
        <v>#REF!</v>
      </c>
    </row>
    <row r="57" spans="1:48" s="10" customFormat="1" ht="45" customHeight="1" x14ac:dyDescent="0.3">
      <c r="A57" s="9"/>
      <c r="B57" s="124" t="s">
        <v>4</v>
      </c>
      <c r="C57" s="124"/>
      <c r="D57" s="124"/>
      <c r="E57" s="124"/>
      <c r="F57" s="124"/>
      <c r="G57" s="124"/>
      <c r="H57" s="124"/>
      <c r="I57" s="124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1"/>
        <v>1213354064.45</v>
      </c>
      <c r="Q57" s="12">
        <v>1213354064.45</v>
      </c>
      <c r="R57" s="12">
        <f t="shared" si="102"/>
        <v>1213354064.45</v>
      </c>
      <c r="S57" s="12">
        <v>1052485113.04</v>
      </c>
      <c r="T57" s="12">
        <v>1050017221.74</v>
      </c>
      <c r="U57" s="12">
        <f t="shared" si="103"/>
        <v>1050017221.74</v>
      </c>
      <c r="V57" s="12">
        <v>453261252.94</v>
      </c>
      <c r="W57" s="12"/>
      <c r="X57" s="12"/>
      <c r="Y57" s="12">
        <f t="shared" si="104"/>
        <v>453261252.94</v>
      </c>
      <c r="Z57" s="12">
        <v>1032066181.7</v>
      </c>
      <c r="AA57" s="12">
        <v>877046455.03999996</v>
      </c>
      <c r="AB57" s="12">
        <v>424971497.11000001</v>
      </c>
      <c r="AC57" s="12">
        <v>21250474.73</v>
      </c>
      <c r="AD57" s="12">
        <v>17473638.149999999</v>
      </c>
      <c r="AE57" s="12">
        <v>306959922.41000003</v>
      </c>
      <c r="AF57" s="12">
        <f t="shared" si="23"/>
        <v>324433560.56</v>
      </c>
      <c r="AG57" s="12">
        <f t="shared" si="9"/>
        <v>-3776836.5800000019</v>
      </c>
      <c r="AH57" s="44">
        <f t="shared" si="4"/>
        <v>-707632621.1400001</v>
      </c>
      <c r="AI57" s="44">
        <f t="shared" si="84"/>
        <v>31.4353445847435</v>
      </c>
      <c r="AJ57" s="12">
        <f t="shared" si="10"/>
        <v>-552612894.48000002</v>
      </c>
      <c r="AK57" s="44">
        <f t="shared" si="18"/>
        <v>36.991605027946136</v>
      </c>
      <c r="AL57" s="12" t="e">
        <f>AF57-#REF!</f>
        <v>#REF!</v>
      </c>
      <c r="AM57" s="12" t="e">
        <f>IF(#REF!=0,0,AF57/#REF!*100)</f>
        <v>#REF!</v>
      </c>
      <c r="AN57" s="44">
        <f t="shared" si="11"/>
        <v>-100537936.55000001</v>
      </c>
      <c r="AO57" s="44">
        <f t="shared" si="12"/>
        <v>76.342428319615834</v>
      </c>
      <c r="AP57" s="12">
        <f t="shared" si="13"/>
        <v>-128827692.38</v>
      </c>
      <c r="AQ57" s="44">
        <f t="shared" si="35"/>
        <v>71.577607495813581</v>
      </c>
      <c r="AR57" s="12">
        <f t="shared" si="80"/>
        <v>-160065121.56</v>
      </c>
      <c r="AS57" s="12">
        <f t="shared" si="81"/>
        <v>66.962733343337504</v>
      </c>
      <c r="AT57" s="34" t="e">
        <f>#REF!</f>
        <v>#REF!</v>
      </c>
    </row>
    <row r="58" spans="1:48" s="10" customFormat="1" ht="27" customHeight="1" x14ac:dyDescent="0.3">
      <c r="A58" s="9"/>
      <c r="B58" s="124" t="s">
        <v>3</v>
      </c>
      <c r="C58" s="124"/>
      <c r="D58" s="124"/>
      <c r="E58" s="124"/>
      <c r="F58" s="124"/>
      <c r="G58" s="124"/>
      <c r="H58" s="124"/>
      <c r="I58" s="124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1"/>
        <v>31536396.41</v>
      </c>
      <c r="Q58" s="12">
        <v>31536396.41</v>
      </c>
      <c r="R58" s="12">
        <f t="shared" si="102"/>
        <v>31536396.41</v>
      </c>
      <c r="S58" s="12">
        <v>14687976.27</v>
      </c>
      <c r="T58" s="12">
        <v>14514443.27</v>
      </c>
      <c r="U58" s="12">
        <f t="shared" si="103"/>
        <v>14514443.27</v>
      </c>
      <c r="V58" s="12">
        <v>1701895.15</v>
      </c>
      <c r="W58" s="12"/>
      <c r="X58" s="12"/>
      <c r="Y58" s="12">
        <f t="shared" si="104"/>
        <v>1701895.15</v>
      </c>
      <c r="Z58" s="12">
        <v>1779977.81</v>
      </c>
      <c r="AA58" s="12">
        <v>28157951.5</v>
      </c>
      <c r="AB58" s="12">
        <v>13871387.84</v>
      </c>
      <c r="AC58" s="12">
        <v>150897.9</v>
      </c>
      <c r="AD58" s="12">
        <v>6558449.1699999999</v>
      </c>
      <c r="AE58" s="12">
        <v>10812332.189999999</v>
      </c>
      <c r="AF58" s="12">
        <f t="shared" si="23"/>
        <v>17370781.359999999</v>
      </c>
      <c r="AG58" s="12">
        <f t="shared" si="9"/>
        <v>6407551.2699999996</v>
      </c>
      <c r="AH58" s="44">
        <f t="shared" si="4"/>
        <v>15590803.549999999</v>
      </c>
      <c r="AI58" s="44">
        <f t="shared" si="84"/>
        <v>975.89875909745183</v>
      </c>
      <c r="AJ58" s="12">
        <f t="shared" si="10"/>
        <v>-10787170.140000001</v>
      </c>
      <c r="AK58" s="44">
        <f t="shared" si="18"/>
        <v>61.690501029522686</v>
      </c>
      <c r="AL58" s="12" t="e">
        <f>AF58-#REF!</f>
        <v>#REF!</v>
      </c>
      <c r="AM58" s="12" t="e">
        <f>IF(#REF!=0,0,AF58/#REF!*100)</f>
        <v>#REF!</v>
      </c>
      <c r="AN58" s="44">
        <f t="shared" si="11"/>
        <v>3499393.5199999996</v>
      </c>
      <c r="AO58" s="44">
        <f t="shared" si="12"/>
        <v>125.2274218006437</v>
      </c>
      <c r="AP58" s="12">
        <f t="shared" si="13"/>
        <v>15668886.209999999</v>
      </c>
      <c r="AQ58" s="44">
        <f t="shared" si="35"/>
        <v>1020.6728281704076</v>
      </c>
      <c r="AR58" s="12">
        <f t="shared" si="80"/>
        <v>16841380.93</v>
      </c>
      <c r="AS58" s="12">
        <f t="shared" si="81"/>
        <v>3281.2178410961997</v>
      </c>
      <c r="AT58" s="34" t="e">
        <f>#REF!</f>
        <v>#REF!</v>
      </c>
    </row>
    <row r="59" spans="1:48" s="10" customFormat="1" ht="39" customHeight="1" x14ac:dyDescent="0.3">
      <c r="A59" s="9"/>
      <c r="B59" s="124" t="s">
        <v>2</v>
      </c>
      <c r="C59" s="124"/>
      <c r="D59" s="124"/>
      <c r="E59" s="124"/>
      <c r="F59" s="124"/>
      <c r="G59" s="124"/>
      <c r="H59" s="124"/>
      <c r="I59" s="124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1"/>
        <v>18244.099999999999</v>
      </c>
      <c r="Q59" s="12">
        <v>18244.099999999999</v>
      </c>
      <c r="R59" s="12">
        <f t="shared" si="102"/>
        <v>18244.099999999999</v>
      </c>
      <c r="S59" s="12">
        <v>102600.69</v>
      </c>
      <c r="T59" s="12">
        <v>110100.69</v>
      </c>
      <c r="U59" s="12">
        <f t="shared" si="103"/>
        <v>110100.69</v>
      </c>
      <c r="V59" s="12">
        <v>2696.92</v>
      </c>
      <c r="W59" s="12"/>
      <c r="X59" s="12"/>
      <c r="Y59" s="12">
        <f t="shared" si="104"/>
        <v>2696.92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3"/>
        <v>0</v>
      </c>
      <c r="AG59" s="12">
        <f t="shared" si="9"/>
        <v>0</v>
      </c>
      <c r="AH59" s="44">
        <f t="shared" si="4"/>
        <v>0</v>
      </c>
      <c r="AI59" s="44">
        <v>0</v>
      </c>
      <c r="AJ59" s="12">
        <f t="shared" si="10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1"/>
        <v>0</v>
      </c>
      <c r="AO59" s="115">
        <v>0</v>
      </c>
      <c r="AP59" s="12">
        <f t="shared" si="13"/>
        <v>-2696.92</v>
      </c>
      <c r="AQ59" s="44">
        <f t="shared" si="35"/>
        <v>0</v>
      </c>
      <c r="AR59" s="12">
        <f t="shared" si="80"/>
        <v>-15145.1</v>
      </c>
      <c r="AS59" s="12">
        <f t="shared" si="81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61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4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-1.0459189070388675E-11</v>
      </c>
      <c r="AF60" s="12">
        <f t="shared" si="23"/>
        <v>-1.0459189070388675E-11</v>
      </c>
      <c r="AG60" s="12">
        <f>AD60-AC60</f>
        <v>0</v>
      </c>
      <c r="AH60" s="44">
        <f t="shared" si="4"/>
        <v>-1.0459189070388675E-11</v>
      </c>
      <c r="AI60" s="44">
        <v>0</v>
      </c>
      <c r="AJ60" s="12">
        <f t="shared" si="10"/>
        <v>-1.0459189070388675E-11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1"/>
        <v>-1.0459189070388675E-11</v>
      </c>
      <c r="AO60" s="44">
        <v>0</v>
      </c>
      <c r="AP60" s="12">
        <f>AF60-Y60</f>
        <v>-1.0459189070388675E-11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1"/>
        <v>280404</v>
      </c>
      <c r="Q61" s="12">
        <v>280404</v>
      </c>
      <c r="R61" s="12">
        <f t="shared" si="102"/>
        <v>280404</v>
      </c>
      <c r="S61" s="12">
        <v>0</v>
      </c>
      <c r="T61" s="12">
        <v>0.13999999999941792</v>
      </c>
      <c r="U61" s="12">
        <f t="shared" si="103"/>
        <v>0.13999999999941792</v>
      </c>
      <c r="V61" s="12">
        <v>0.14000000000000001</v>
      </c>
      <c r="W61" s="12"/>
      <c r="X61" s="12"/>
      <c r="Y61" s="12">
        <f t="shared" si="104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3"/>
        <v>0</v>
      </c>
      <c r="AG61" s="12">
        <f t="shared" si="9"/>
        <v>0</v>
      </c>
      <c r="AH61" s="44">
        <f t="shared" si="4"/>
        <v>0</v>
      </c>
      <c r="AI61" s="44">
        <v>0</v>
      </c>
      <c r="AJ61" s="12">
        <f t="shared" si="10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1"/>
        <v>0</v>
      </c>
      <c r="AO61" s="44">
        <v>0</v>
      </c>
      <c r="AP61" s="12">
        <f t="shared" si="13"/>
        <v>-0.14000000000000001</v>
      </c>
      <c r="AQ61" s="44">
        <f t="shared" si="35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4" t="s">
        <v>0</v>
      </c>
      <c r="C62" s="124"/>
      <c r="D62" s="124"/>
      <c r="E62" s="124"/>
      <c r="F62" s="124"/>
      <c r="G62" s="124"/>
      <c r="H62" s="124"/>
      <c r="I62" s="124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1"/>
        <v>-5497492.0700000003</v>
      </c>
      <c r="Q62" s="12">
        <v>-5497492.0700000003</v>
      </c>
      <c r="R62" s="12">
        <f t="shared" si="102"/>
        <v>-5497492.0700000003</v>
      </c>
      <c r="S62" s="12">
        <v>-698316.82</v>
      </c>
      <c r="T62" s="12">
        <v>-698316.82000000018</v>
      </c>
      <c r="U62" s="12">
        <f t="shared" si="103"/>
        <v>-698316.82000000018</v>
      </c>
      <c r="V62" s="12">
        <v>-660690.09</v>
      </c>
      <c r="W62" s="12"/>
      <c r="X62" s="12"/>
      <c r="Y62" s="12">
        <f t="shared" si="104"/>
        <v>-660690.09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-2457630.8099999977</v>
      </c>
      <c r="AF62" s="12">
        <f t="shared" si="23"/>
        <v>-2457630.8099999977</v>
      </c>
      <c r="AG62" s="12">
        <f t="shared" si="9"/>
        <v>0</v>
      </c>
      <c r="AH62" s="44">
        <f t="shared" si="4"/>
        <v>-2457630.8099999977</v>
      </c>
      <c r="AI62" s="44">
        <v>0</v>
      </c>
      <c r="AJ62" s="12">
        <f t="shared" si="10"/>
        <v>-2457630.8099999977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1"/>
        <v>-2457630.8099999977</v>
      </c>
      <c r="AO62" s="12">
        <v>0</v>
      </c>
      <c r="AP62" s="12">
        <f t="shared" si="13"/>
        <v>-1796940.7199999979</v>
      </c>
      <c r="AQ62" s="44">
        <f t="shared" si="35"/>
        <v>371.97936630167976</v>
      </c>
      <c r="AR62" s="12">
        <f>AF62-M62</f>
        <v>1497111.6500000022</v>
      </c>
      <c r="AS62" s="12">
        <f>IF(M62=0,0,AF62/M62*100)</f>
        <v>62.143890148538219</v>
      </c>
      <c r="AT62" s="34">
        <f>AF62</f>
        <v>-2457630.8099999977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5">J54+J7</f>
        <v>2092393430.8699999</v>
      </c>
      <c r="K63" s="13">
        <f t="shared" si="105"/>
        <v>2071644024.1451344</v>
      </c>
      <c r="L63" s="28">
        <f t="shared" si="105"/>
        <v>881017080.54999995</v>
      </c>
      <c r="M63" s="26">
        <f t="shared" si="105"/>
        <v>872742840.6655432</v>
      </c>
      <c r="N63" s="12">
        <f t="shared" si="105"/>
        <v>2309803775.2699995</v>
      </c>
      <c r="O63" s="12">
        <f t="shared" si="105"/>
        <v>2328450949.6999998</v>
      </c>
      <c r="P63" s="12">
        <f t="shared" si="105"/>
        <v>2327457942.815587</v>
      </c>
      <c r="Q63" s="12">
        <f t="shared" si="105"/>
        <v>2328450949.6999998</v>
      </c>
      <c r="R63" s="12">
        <f t="shared" si="105"/>
        <v>2324234116.085587</v>
      </c>
      <c r="S63" s="12">
        <f t="shared" si="105"/>
        <v>2468054121.4099998</v>
      </c>
      <c r="T63" s="12">
        <f t="shared" si="105"/>
        <v>2473502940.9500003</v>
      </c>
      <c r="U63" s="12">
        <f t="shared" si="105"/>
        <v>2624074313.2158422</v>
      </c>
      <c r="V63" s="12">
        <f t="shared" si="105"/>
        <v>881818616.02999985</v>
      </c>
      <c r="W63" s="12"/>
      <c r="X63" s="12">
        <f t="shared" ref="X63:AF63" si="106">X54+X7</f>
        <v>0</v>
      </c>
      <c r="Y63" s="12">
        <f t="shared" si="106"/>
        <v>914769117.07178378</v>
      </c>
      <c r="Z63" s="12">
        <f t="shared" si="106"/>
        <v>2141993785.2600002</v>
      </c>
      <c r="AA63" s="12">
        <f t="shared" si="106"/>
        <v>2327708082.5099998</v>
      </c>
      <c r="AB63" s="12">
        <f t="shared" si="106"/>
        <v>925511620.19000006</v>
      </c>
      <c r="AC63" s="12">
        <f t="shared" si="106"/>
        <v>72247319.909999996</v>
      </c>
      <c r="AD63" s="12">
        <f t="shared" si="106"/>
        <v>60744701.920000002</v>
      </c>
      <c r="AE63" s="12">
        <f>AE54+AE7</f>
        <v>740010444.05000019</v>
      </c>
      <c r="AF63" s="12">
        <f t="shared" si="106"/>
        <v>800755145.97000015</v>
      </c>
      <c r="AG63" s="12">
        <f t="shared" si="9"/>
        <v>-11502617.989999995</v>
      </c>
      <c r="AH63" s="12">
        <f t="shared" si="4"/>
        <v>-1341238639.29</v>
      </c>
      <c r="AI63" s="12">
        <f>AF63/Z63*100</f>
        <v>37.383635353209144</v>
      </c>
      <c r="AJ63" s="12">
        <f>AF63-AA63</f>
        <v>-1526952936.5399995</v>
      </c>
      <c r="AK63" s="12">
        <f t="shared" si="18"/>
        <v>34.401012394412227</v>
      </c>
      <c r="AL63" s="12" t="e">
        <f>AF63-#REF!</f>
        <v>#REF!</v>
      </c>
      <c r="AM63" s="12" t="e">
        <f>IF(#REF!=0,0,AF63/#REF!*100)</f>
        <v>#REF!</v>
      </c>
      <c r="AN63" s="12">
        <f t="shared" si="11"/>
        <v>-124756474.21999991</v>
      </c>
      <c r="AO63" s="12">
        <f t="shared" si="12"/>
        <v>86.520269276101743</v>
      </c>
      <c r="AP63" s="12">
        <f t="shared" si="13"/>
        <v>-114013971.10178363</v>
      </c>
      <c r="AQ63" s="12">
        <f t="shared" si="35"/>
        <v>87.536311734402744</v>
      </c>
      <c r="AR63" s="12">
        <f>AF63-M63</f>
        <v>-71987694.695543051</v>
      </c>
      <c r="AS63" s="12">
        <f>IF(M63=0,0,AF63/M63*100)</f>
        <v>91.751557120692496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72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47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909014288.32178378</v>
      </c>
      <c r="W65" s="94"/>
      <c r="X65" s="101"/>
      <c r="Y65" s="94"/>
      <c r="Z65" s="94"/>
      <c r="AA65" s="94"/>
      <c r="AB65" s="94">
        <v>1581194711.4100001</v>
      </c>
      <c r="AC65" s="95"/>
      <c r="AD65" s="109"/>
      <c r="AE65" s="111">
        <v>740010444.04999995</v>
      </c>
      <c r="AF65" s="109">
        <v>1229277981.27</v>
      </c>
      <c r="AG65" s="95"/>
      <c r="AJ65" s="89"/>
      <c r="AK65" s="140"/>
      <c r="AL65" s="140"/>
      <c r="AM65" s="140"/>
      <c r="AN65" s="140"/>
      <c r="AO65" s="140"/>
      <c r="AP65" s="140"/>
    </row>
    <row r="66" spans="1:44" s="78" customFormat="1" ht="18" customHeight="1" x14ac:dyDescent="0.3">
      <c r="I66" s="78" t="s">
        <v>75</v>
      </c>
      <c r="O66" s="78" t="s">
        <v>40</v>
      </c>
      <c r="Q66" s="88"/>
      <c r="V66" s="88">
        <v>881818616.02999997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  <c r="AE66" s="89">
        <f>AE65-AE63</f>
        <v>0</v>
      </c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47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R4:AS4"/>
    <mergeCell ref="B7:I7"/>
    <mergeCell ref="B10:I10"/>
    <mergeCell ref="B11:I11"/>
    <mergeCell ref="B13:I13"/>
    <mergeCell ref="AN4:AO4"/>
    <mergeCell ref="AP4:AQ4"/>
    <mergeCell ref="X4:X5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V4:V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I2:AN2"/>
  </mergeCells>
  <pageMargins left="0.39370078740157483" right="0.39370078740157483" top="0.78740157480314965" bottom="0.39370078740157483" header="0.39370078740157483" footer="0.39370078740157483"/>
  <pageSetup paperSize="9" scale="60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Оксана Попова</cp:lastModifiedBy>
  <cp:lastPrinted>2024-05-17T12:11:32Z</cp:lastPrinted>
  <dcterms:created xsi:type="dcterms:W3CDTF">2018-12-30T09:36:16Z</dcterms:created>
  <dcterms:modified xsi:type="dcterms:W3CDTF">2024-05-17T12:49:46Z</dcterms:modified>
</cp:coreProperties>
</file>